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nec\Lone Cone Library Dropbox\Kerry Bentler\Board\Board Meeting Info (Minutes, Agendas)\2025\Financials\"/>
    </mc:Choice>
  </mc:AlternateContent>
  <xr:revisionPtr revIDLastSave="0" documentId="13_ncr:1_{E149473D-08D8-44AE-B44F-84E04E635D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vs. Actu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66" i="1" l="1"/>
  <c r="AL165" i="1"/>
  <c r="AD165" i="1"/>
  <c r="R165" i="1"/>
  <c r="N165" i="1"/>
  <c r="AS164" i="1"/>
  <c r="AQ164" i="1"/>
  <c r="AP164" i="1"/>
  <c r="AR164" i="1" s="1"/>
  <c r="AL164" i="1"/>
  <c r="AH164" i="1"/>
  <c r="AJ164" i="1" s="1"/>
  <c r="AD164" i="1"/>
  <c r="AB164" i="1"/>
  <c r="AA164" i="1"/>
  <c r="AC164" i="1" s="1"/>
  <c r="Z164" i="1"/>
  <c r="Y164" i="1"/>
  <c r="W164" i="1"/>
  <c r="V164" i="1"/>
  <c r="X164" i="1" s="1"/>
  <c r="R164" i="1"/>
  <c r="N164" i="1"/>
  <c r="J164" i="1"/>
  <c r="F164" i="1"/>
  <c r="B164" i="1"/>
  <c r="AT163" i="1"/>
  <c r="AS163" i="1"/>
  <c r="AQ163" i="1"/>
  <c r="AR163" i="1" s="1"/>
  <c r="AM163" i="1"/>
  <c r="AN163" i="1" s="1"/>
  <c r="AK163" i="1"/>
  <c r="AJ163" i="1"/>
  <c r="AI163" i="1"/>
  <c r="AI164" i="1" s="1"/>
  <c r="AK164" i="1" s="1"/>
  <c r="AG163" i="1"/>
  <c r="AF163" i="1"/>
  <c r="AE163" i="1"/>
  <c r="AE164" i="1" s="1"/>
  <c r="AC163" i="1"/>
  <c r="AB163" i="1"/>
  <c r="AA163" i="1"/>
  <c r="Y163" i="1"/>
  <c r="X163" i="1"/>
  <c r="W163" i="1"/>
  <c r="T163" i="1"/>
  <c r="S163" i="1"/>
  <c r="S164" i="1" s="1"/>
  <c r="O163" i="1"/>
  <c r="Q163" i="1" s="1"/>
  <c r="K163" i="1"/>
  <c r="M163" i="1" s="1"/>
  <c r="G163" i="1"/>
  <c r="E163" i="1"/>
  <c r="D163" i="1"/>
  <c r="C163" i="1"/>
  <c r="C164" i="1" s="1"/>
  <c r="AU162" i="1"/>
  <c r="AW162" i="1" s="1"/>
  <c r="AS162" i="1"/>
  <c r="AR162" i="1"/>
  <c r="AO162" i="1"/>
  <c r="AN162" i="1"/>
  <c r="AK162" i="1"/>
  <c r="AJ162" i="1"/>
  <c r="AG162" i="1"/>
  <c r="AF162" i="1"/>
  <c r="AC162" i="1"/>
  <c r="AB162" i="1"/>
  <c r="Y162" i="1"/>
  <c r="X162" i="1"/>
  <c r="U162" i="1"/>
  <c r="T162" i="1"/>
  <c r="Q162" i="1"/>
  <c r="P162" i="1"/>
  <c r="M162" i="1"/>
  <c r="L162" i="1"/>
  <c r="I162" i="1"/>
  <c r="H162" i="1"/>
  <c r="E162" i="1"/>
  <c r="B162" i="1"/>
  <c r="AT162" i="1" s="1"/>
  <c r="AV162" i="1" s="1"/>
  <c r="AW161" i="1"/>
  <c r="AU161" i="1"/>
  <c r="AS161" i="1"/>
  <c r="AR161" i="1"/>
  <c r="AO161" i="1"/>
  <c r="AN161" i="1"/>
  <c r="AK161" i="1"/>
  <c r="AJ161" i="1"/>
  <c r="AH161" i="1"/>
  <c r="AG161" i="1"/>
  <c r="AF161" i="1"/>
  <c r="AC161" i="1"/>
  <c r="AB161" i="1"/>
  <c r="Y161" i="1"/>
  <c r="X161" i="1"/>
  <c r="U161" i="1"/>
  <c r="T161" i="1"/>
  <c r="Q161" i="1"/>
  <c r="P161" i="1"/>
  <c r="M161" i="1"/>
  <c r="J161" i="1"/>
  <c r="L161" i="1" s="1"/>
  <c r="I161" i="1"/>
  <c r="H161" i="1"/>
  <c r="E161" i="1"/>
  <c r="D161" i="1"/>
  <c r="AP160" i="1"/>
  <c r="AL160" i="1"/>
  <c r="AD160" i="1"/>
  <c r="Z160" i="1"/>
  <c r="Z165" i="1" s="1"/>
  <c r="V160" i="1"/>
  <c r="R160" i="1"/>
  <c r="T160" i="1" s="1"/>
  <c r="N160" i="1"/>
  <c r="G160" i="1"/>
  <c r="F160" i="1"/>
  <c r="F165" i="1" s="1"/>
  <c r="B160" i="1"/>
  <c r="AS159" i="1"/>
  <c r="AR159" i="1"/>
  <c r="AQ159" i="1"/>
  <c r="AO159" i="1"/>
  <c r="AN159" i="1"/>
  <c r="AM159" i="1"/>
  <c r="AK159" i="1"/>
  <c r="AI159" i="1"/>
  <c r="AH159" i="1"/>
  <c r="AG159" i="1"/>
  <c r="AF159" i="1"/>
  <c r="AE159" i="1"/>
  <c r="AA159" i="1"/>
  <c r="Y159" i="1"/>
  <c r="X159" i="1"/>
  <c r="W159" i="1"/>
  <c r="U159" i="1"/>
  <c r="S159" i="1"/>
  <c r="T159" i="1" s="1"/>
  <c r="P159" i="1"/>
  <c r="O159" i="1"/>
  <c r="Q159" i="1" s="1"/>
  <c r="K159" i="1"/>
  <c r="M159" i="1" s="1"/>
  <c r="J159" i="1"/>
  <c r="I159" i="1"/>
  <c r="H159" i="1"/>
  <c r="G159" i="1"/>
  <c r="E159" i="1"/>
  <c r="D159" i="1"/>
  <c r="C159" i="1"/>
  <c r="AS158" i="1"/>
  <c r="AQ158" i="1"/>
  <c r="AQ160" i="1" s="1"/>
  <c r="AS160" i="1" s="1"/>
  <c r="AN158" i="1"/>
  <c r="AM158" i="1"/>
  <c r="AM160" i="1" s="1"/>
  <c r="AO160" i="1" s="1"/>
  <c r="AI158" i="1"/>
  <c r="AK158" i="1" s="1"/>
  <c r="AH158" i="1"/>
  <c r="AE158" i="1"/>
  <c r="AC158" i="1"/>
  <c r="AB158" i="1"/>
  <c r="AA158" i="1"/>
  <c r="Y158" i="1"/>
  <c r="W158" i="1"/>
  <c r="W160" i="1" s="1"/>
  <c r="Y160" i="1" s="1"/>
  <c r="T158" i="1"/>
  <c r="S158" i="1"/>
  <c r="S160" i="1" s="1"/>
  <c r="U160" i="1" s="1"/>
  <c r="O158" i="1"/>
  <c r="Q158" i="1" s="1"/>
  <c r="K158" i="1"/>
  <c r="M158" i="1" s="1"/>
  <c r="J158" i="1"/>
  <c r="L158" i="1" s="1"/>
  <c r="G158" i="1"/>
  <c r="E158" i="1"/>
  <c r="D158" i="1"/>
  <c r="C158" i="1"/>
  <c r="C160" i="1" s="1"/>
  <c r="E160" i="1" s="1"/>
  <c r="AV157" i="1"/>
  <c r="AU157" i="1"/>
  <c r="AW157" i="1" s="1"/>
  <c r="AT157" i="1"/>
  <c r="AS157" i="1"/>
  <c r="AR157" i="1"/>
  <c r="AO157" i="1"/>
  <c r="AN157" i="1"/>
  <c r="AK157" i="1"/>
  <c r="AJ157" i="1"/>
  <c r="AG157" i="1"/>
  <c r="AF157" i="1"/>
  <c r="AC157" i="1"/>
  <c r="AB157" i="1"/>
  <c r="Y157" i="1"/>
  <c r="X157" i="1"/>
  <c r="U157" i="1"/>
  <c r="T157" i="1"/>
  <c r="Q157" i="1"/>
  <c r="P157" i="1"/>
  <c r="M157" i="1"/>
  <c r="L157" i="1"/>
  <c r="I157" i="1"/>
  <c r="H157" i="1"/>
  <c r="E157" i="1"/>
  <c r="D157" i="1"/>
  <c r="AT156" i="1"/>
  <c r="AQ156" i="1"/>
  <c r="AS156" i="1" s="1"/>
  <c r="AM156" i="1"/>
  <c r="AK156" i="1"/>
  <c r="AJ156" i="1"/>
  <c r="AI156" i="1"/>
  <c r="AE156" i="1"/>
  <c r="AB156" i="1"/>
  <c r="AA156" i="1"/>
  <c r="AC156" i="1" s="1"/>
  <c r="Y156" i="1"/>
  <c r="W156" i="1"/>
  <c r="U156" i="1"/>
  <c r="T156" i="1"/>
  <c r="S156" i="1"/>
  <c r="O156" i="1"/>
  <c r="Q156" i="1" s="1"/>
  <c r="L156" i="1"/>
  <c r="K156" i="1"/>
  <c r="I156" i="1"/>
  <c r="H156" i="1"/>
  <c r="G156" i="1"/>
  <c r="E156" i="1"/>
  <c r="D156" i="1"/>
  <c r="C156" i="1"/>
  <c r="C165" i="1" s="1"/>
  <c r="AQ154" i="1"/>
  <c r="AP154" i="1"/>
  <c r="AM154" i="1"/>
  <c r="AO154" i="1" s="1"/>
  <c r="AL154" i="1"/>
  <c r="AL166" i="1" s="1"/>
  <c r="AI154" i="1"/>
  <c r="AK154" i="1" s="1"/>
  <c r="AH154" i="1"/>
  <c r="AE154" i="1"/>
  <c r="AD154" i="1"/>
  <c r="AA154" i="1"/>
  <c r="Z154" i="1"/>
  <c r="AB154" i="1" s="1"/>
  <c r="W154" i="1"/>
  <c r="V154" i="1"/>
  <c r="S154" i="1"/>
  <c r="U154" i="1" s="1"/>
  <c r="R154" i="1"/>
  <c r="R166" i="1" s="1"/>
  <c r="Q154" i="1"/>
  <c r="P154" i="1"/>
  <c r="O154" i="1"/>
  <c r="N154" i="1"/>
  <c r="N166" i="1" s="1"/>
  <c r="K154" i="1"/>
  <c r="J154" i="1"/>
  <c r="G154" i="1"/>
  <c r="F154" i="1"/>
  <c r="H154" i="1" s="1"/>
  <c r="C154" i="1"/>
  <c r="C166" i="1" s="1"/>
  <c r="AU153" i="1"/>
  <c r="AW153" i="1" s="1"/>
  <c r="AS153" i="1"/>
  <c r="AR153" i="1"/>
  <c r="AO153" i="1"/>
  <c r="AN153" i="1"/>
  <c r="AK153" i="1"/>
  <c r="AJ153" i="1"/>
  <c r="AG153" i="1"/>
  <c r="AF153" i="1"/>
  <c r="AC153" i="1"/>
  <c r="AB153" i="1"/>
  <c r="Y153" i="1"/>
  <c r="X153" i="1"/>
  <c r="U153" i="1"/>
  <c r="T153" i="1"/>
  <c r="Q153" i="1"/>
  <c r="P153" i="1"/>
  <c r="M153" i="1"/>
  <c r="L153" i="1"/>
  <c r="I153" i="1"/>
  <c r="H153" i="1"/>
  <c r="E153" i="1"/>
  <c r="B153" i="1"/>
  <c r="AQ149" i="1"/>
  <c r="AS149" i="1" s="1"/>
  <c r="AP149" i="1"/>
  <c r="AR149" i="1" s="1"/>
  <c r="AM149" i="1"/>
  <c r="AO149" i="1" s="1"/>
  <c r="AL149" i="1"/>
  <c r="AN149" i="1" s="1"/>
  <c r="AJ149" i="1"/>
  <c r="AI149" i="1"/>
  <c r="AK149" i="1" s="1"/>
  <c r="AH149" i="1"/>
  <c r="AE149" i="1"/>
  <c r="AG149" i="1" s="1"/>
  <c r="AD149" i="1"/>
  <c r="AF149" i="1" s="1"/>
  <c r="AA149" i="1"/>
  <c r="AC149" i="1" s="1"/>
  <c r="Z149" i="1"/>
  <c r="AB149" i="1" s="1"/>
  <c r="W149" i="1"/>
  <c r="Y149" i="1" s="1"/>
  <c r="V149" i="1"/>
  <c r="X149" i="1" s="1"/>
  <c r="S149" i="1"/>
  <c r="U149" i="1" s="1"/>
  <c r="R149" i="1"/>
  <c r="T149" i="1" s="1"/>
  <c r="P149" i="1"/>
  <c r="O149" i="1"/>
  <c r="Q149" i="1" s="1"/>
  <c r="M149" i="1"/>
  <c r="K149" i="1"/>
  <c r="J149" i="1"/>
  <c r="L149" i="1" s="1"/>
  <c r="G149" i="1"/>
  <c r="F149" i="1"/>
  <c r="E149" i="1"/>
  <c r="C149" i="1"/>
  <c r="B149" i="1"/>
  <c r="D149" i="1" s="1"/>
  <c r="AW148" i="1"/>
  <c r="AU148" i="1"/>
  <c r="AS148" i="1"/>
  <c r="AP148" i="1"/>
  <c r="AR148" i="1" s="1"/>
  <c r="AO148" i="1"/>
  <c r="AN148" i="1"/>
  <c r="AL148" i="1"/>
  <c r="AK148" i="1"/>
  <c r="AJ148" i="1"/>
  <c r="AG148" i="1"/>
  <c r="AF148" i="1"/>
  <c r="AC148" i="1"/>
  <c r="Z148" i="1"/>
  <c r="AB148" i="1" s="1"/>
  <c r="Y148" i="1"/>
  <c r="X148" i="1"/>
  <c r="U148" i="1"/>
  <c r="T148" i="1"/>
  <c r="R148" i="1"/>
  <c r="Q148" i="1"/>
  <c r="P148" i="1"/>
  <c r="M148" i="1"/>
  <c r="J148" i="1"/>
  <c r="L148" i="1" s="1"/>
  <c r="I148" i="1"/>
  <c r="H148" i="1"/>
  <c r="E148" i="1"/>
  <c r="B148" i="1"/>
  <c r="D148" i="1" s="1"/>
  <c r="AS146" i="1"/>
  <c r="AQ146" i="1"/>
  <c r="AP146" i="1"/>
  <c r="AR146" i="1" s="1"/>
  <c r="AO146" i="1"/>
  <c r="AN146" i="1"/>
  <c r="AM146" i="1"/>
  <c r="AK146" i="1"/>
  <c r="AJ146" i="1"/>
  <c r="AI146" i="1"/>
  <c r="AF146" i="1"/>
  <c r="AE146" i="1"/>
  <c r="AG146" i="1" s="1"/>
  <c r="AA146" i="1"/>
  <c r="AC146" i="1" s="1"/>
  <c r="Y146" i="1"/>
  <c r="W146" i="1"/>
  <c r="X146" i="1" s="1"/>
  <c r="T146" i="1"/>
  <c r="S146" i="1"/>
  <c r="U146" i="1" s="1"/>
  <c r="Q146" i="1"/>
  <c r="O146" i="1"/>
  <c r="P146" i="1" s="1"/>
  <c r="K146" i="1"/>
  <c r="M146" i="1" s="1"/>
  <c r="G146" i="1"/>
  <c r="F146" i="1"/>
  <c r="H146" i="1" s="1"/>
  <c r="E146" i="1"/>
  <c r="C146" i="1"/>
  <c r="B146" i="1"/>
  <c r="D146" i="1" s="1"/>
  <c r="AI145" i="1"/>
  <c r="AK145" i="1" s="1"/>
  <c r="AH145" i="1"/>
  <c r="AD145" i="1"/>
  <c r="N145" i="1"/>
  <c r="J145" i="1"/>
  <c r="AQ144" i="1"/>
  <c r="AS144" i="1" s="1"/>
  <c r="AP144" i="1"/>
  <c r="AO144" i="1"/>
  <c r="AM144" i="1"/>
  <c r="AL144" i="1"/>
  <c r="AN144" i="1" s="1"/>
  <c r="AK144" i="1"/>
  <c r="AI144" i="1"/>
  <c r="AH144" i="1"/>
  <c r="AJ144" i="1" s="1"/>
  <c r="AG144" i="1"/>
  <c r="AE144" i="1"/>
  <c r="AD144" i="1"/>
  <c r="AF144" i="1" s="1"/>
  <c r="AC144" i="1"/>
  <c r="AA144" i="1"/>
  <c r="Z144" i="1"/>
  <c r="AB144" i="1" s="1"/>
  <c r="W144" i="1"/>
  <c r="Y144" i="1" s="1"/>
  <c r="V144" i="1"/>
  <c r="U144" i="1"/>
  <c r="S144" i="1"/>
  <c r="R144" i="1"/>
  <c r="T144" i="1" s="1"/>
  <c r="Q144" i="1"/>
  <c r="O144" i="1"/>
  <c r="N144" i="1"/>
  <c r="P144" i="1" s="1"/>
  <c r="M144" i="1"/>
  <c r="K144" i="1"/>
  <c r="J144" i="1"/>
  <c r="L144" i="1" s="1"/>
  <c r="I144" i="1"/>
  <c r="G144" i="1"/>
  <c r="F144" i="1"/>
  <c r="H144" i="1" s="1"/>
  <c r="C144" i="1"/>
  <c r="B144" i="1"/>
  <c r="AT143" i="1"/>
  <c r="AS143" i="1"/>
  <c r="AQ143" i="1"/>
  <c r="AR143" i="1" s="1"/>
  <c r="AN143" i="1"/>
  <c r="AM143" i="1"/>
  <c r="AO143" i="1" s="1"/>
  <c r="AK143" i="1"/>
  <c r="AI143" i="1"/>
  <c r="AJ143" i="1" s="1"/>
  <c r="AE143" i="1"/>
  <c r="AG143" i="1" s="1"/>
  <c r="AA143" i="1"/>
  <c r="Y143" i="1"/>
  <c r="X143" i="1"/>
  <c r="W143" i="1"/>
  <c r="V143" i="1"/>
  <c r="U143" i="1"/>
  <c r="T143" i="1"/>
  <c r="S143" i="1"/>
  <c r="O143" i="1"/>
  <c r="Q143" i="1" s="1"/>
  <c r="L143" i="1"/>
  <c r="K143" i="1"/>
  <c r="M143" i="1" s="1"/>
  <c r="I143" i="1"/>
  <c r="H143" i="1"/>
  <c r="G143" i="1"/>
  <c r="E143" i="1"/>
  <c r="D143" i="1"/>
  <c r="C143" i="1"/>
  <c r="AQ142" i="1"/>
  <c r="AP142" i="1"/>
  <c r="AM142" i="1"/>
  <c r="AO142" i="1" s="1"/>
  <c r="AL142" i="1"/>
  <c r="AL145" i="1" s="1"/>
  <c r="AN145" i="1" s="1"/>
  <c r="AK142" i="1"/>
  <c r="AI142" i="1"/>
  <c r="AJ142" i="1" s="1"/>
  <c r="AH142" i="1"/>
  <c r="AE142" i="1"/>
  <c r="AG142" i="1" s="1"/>
  <c r="AD142" i="1"/>
  <c r="AA142" i="1"/>
  <c r="AC142" i="1" s="1"/>
  <c r="Z142" i="1"/>
  <c r="W142" i="1"/>
  <c r="V142" i="1"/>
  <c r="S142" i="1"/>
  <c r="U142" i="1" s="1"/>
  <c r="R142" i="1"/>
  <c r="T142" i="1" s="1"/>
  <c r="Q142" i="1"/>
  <c r="O142" i="1"/>
  <c r="P142" i="1" s="1"/>
  <c r="N142" i="1"/>
  <c r="K142" i="1"/>
  <c r="M142" i="1" s="1"/>
  <c r="J142" i="1"/>
  <c r="H142" i="1"/>
  <c r="G142" i="1"/>
  <c r="F142" i="1"/>
  <c r="AT142" i="1" s="1"/>
  <c r="C142" i="1"/>
  <c r="B142" i="1"/>
  <c r="AS141" i="1"/>
  <c r="AQ141" i="1"/>
  <c r="AR141" i="1" s="1"/>
  <c r="AP141" i="1"/>
  <c r="AM141" i="1"/>
  <c r="AO141" i="1" s="1"/>
  <c r="AL141" i="1"/>
  <c r="AK141" i="1"/>
  <c r="AI141" i="1"/>
  <c r="AJ141" i="1" s="1"/>
  <c r="AH141" i="1"/>
  <c r="AE141" i="1"/>
  <c r="AD141" i="1"/>
  <c r="AA141" i="1"/>
  <c r="AC141" i="1" s="1"/>
  <c r="Z141" i="1"/>
  <c r="Z145" i="1" s="1"/>
  <c r="Y141" i="1"/>
  <c r="W141" i="1"/>
  <c r="X141" i="1" s="1"/>
  <c r="V141" i="1"/>
  <c r="S141" i="1"/>
  <c r="U141" i="1" s="1"/>
  <c r="R141" i="1"/>
  <c r="O141" i="1"/>
  <c r="Q141" i="1" s="1"/>
  <c r="N141" i="1"/>
  <c r="K141" i="1"/>
  <c r="J141" i="1"/>
  <c r="G141" i="1"/>
  <c r="I141" i="1" s="1"/>
  <c r="F141" i="1"/>
  <c r="H141" i="1" s="1"/>
  <c r="E141" i="1"/>
  <c r="C141" i="1"/>
  <c r="D141" i="1" s="1"/>
  <c r="B141" i="1"/>
  <c r="AS140" i="1"/>
  <c r="AQ140" i="1"/>
  <c r="AM140" i="1"/>
  <c r="AM145" i="1" s="1"/>
  <c r="AO145" i="1" s="1"/>
  <c r="AK140" i="1"/>
  <c r="AI140" i="1"/>
  <c r="AJ140" i="1" s="1"/>
  <c r="AF140" i="1"/>
  <c r="AE140" i="1"/>
  <c r="AC140" i="1"/>
  <c r="AA140" i="1"/>
  <c r="W140" i="1"/>
  <c r="Y140" i="1" s="1"/>
  <c r="S140" i="1"/>
  <c r="R140" i="1"/>
  <c r="Q140" i="1"/>
  <c r="O140" i="1"/>
  <c r="N140" i="1"/>
  <c r="P140" i="1" s="1"/>
  <c r="M140" i="1"/>
  <c r="K140" i="1"/>
  <c r="J140" i="1"/>
  <c r="L140" i="1" s="1"/>
  <c r="I140" i="1"/>
  <c r="G140" i="1"/>
  <c r="AU140" i="1" s="1"/>
  <c r="F140" i="1"/>
  <c r="F145" i="1" s="1"/>
  <c r="E140" i="1"/>
  <c r="C140" i="1"/>
  <c r="B140" i="1"/>
  <c r="D140" i="1" s="1"/>
  <c r="AU139" i="1"/>
  <c r="AW139" i="1" s="1"/>
  <c r="AT139" i="1"/>
  <c r="AS139" i="1"/>
  <c r="AR139" i="1"/>
  <c r="AO139" i="1"/>
  <c r="AN139" i="1"/>
  <c r="AK139" i="1"/>
  <c r="AJ139" i="1"/>
  <c r="AG139" i="1"/>
  <c r="AF139" i="1"/>
  <c r="AC139" i="1"/>
  <c r="AB139" i="1"/>
  <c r="Y139" i="1"/>
  <c r="X139" i="1"/>
  <c r="U139" i="1"/>
  <c r="T139" i="1"/>
  <c r="Q139" i="1"/>
  <c r="P139" i="1"/>
  <c r="M139" i="1"/>
  <c r="L139" i="1"/>
  <c r="I139" i="1"/>
  <c r="H139" i="1"/>
  <c r="E139" i="1"/>
  <c r="D139" i="1"/>
  <c r="AQ138" i="1"/>
  <c r="AS138" i="1" s="1"/>
  <c r="AL138" i="1"/>
  <c r="AE138" i="1"/>
  <c r="AG138" i="1" s="1"/>
  <c r="AD138" i="1"/>
  <c r="AA138" i="1"/>
  <c r="Z138" i="1"/>
  <c r="W138" i="1"/>
  <c r="Y138" i="1" s="1"/>
  <c r="V138" i="1"/>
  <c r="X138" i="1" s="1"/>
  <c r="U138" i="1"/>
  <c r="S138" i="1"/>
  <c r="T138" i="1" s="1"/>
  <c r="R138" i="1"/>
  <c r="M138" i="1"/>
  <c r="K138" i="1"/>
  <c r="G138" i="1"/>
  <c r="F138" i="1"/>
  <c r="C138" i="1"/>
  <c r="E138" i="1" s="1"/>
  <c r="B138" i="1"/>
  <c r="AQ137" i="1"/>
  <c r="AS137" i="1" s="1"/>
  <c r="AP137" i="1"/>
  <c r="AN137" i="1"/>
  <c r="AM137" i="1"/>
  <c r="AO137" i="1" s="1"/>
  <c r="AI137" i="1"/>
  <c r="AI138" i="1" s="1"/>
  <c r="AG137" i="1"/>
  <c r="AE137" i="1"/>
  <c r="AF137" i="1" s="1"/>
  <c r="AB137" i="1"/>
  <c r="AA137" i="1"/>
  <c r="AC137" i="1" s="1"/>
  <c r="Y137" i="1"/>
  <c r="W137" i="1"/>
  <c r="X137" i="1" s="1"/>
  <c r="V137" i="1"/>
  <c r="S137" i="1"/>
  <c r="U137" i="1" s="1"/>
  <c r="O137" i="1"/>
  <c r="N137" i="1"/>
  <c r="K137" i="1"/>
  <c r="M137" i="1" s="1"/>
  <c r="J137" i="1"/>
  <c r="G137" i="1"/>
  <c r="I137" i="1" s="1"/>
  <c r="E137" i="1"/>
  <c r="C137" i="1"/>
  <c r="D137" i="1" s="1"/>
  <c r="AS136" i="1"/>
  <c r="AQ136" i="1"/>
  <c r="AP136" i="1"/>
  <c r="AR136" i="1" s="1"/>
  <c r="AO136" i="1"/>
  <c r="AN136" i="1"/>
  <c r="AM136" i="1"/>
  <c r="AL136" i="1"/>
  <c r="AK136" i="1"/>
  <c r="AJ136" i="1"/>
  <c r="AI136" i="1"/>
  <c r="AE136" i="1"/>
  <c r="AG136" i="1" s="1"/>
  <c r="AB136" i="1"/>
  <c r="AA136" i="1"/>
  <c r="AC136" i="1" s="1"/>
  <c r="Y136" i="1"/>
  <c r="X136" i="1"/>
  <c r="W136" i="1"/>
  <c r="U136" i="1"/>
  <c r="T136" i="1"/>
  <c r="S136" i="1"/>
  <c r="O136" i="1"/>
  <c r="N136" i="1"/>
  <c r="AT136" i="1" s="1"/>
  <c r="K136" i="1"/>
  <c r="J136" i="1"/>
  <c r="G136" i="1"/>
  <c r="I136" i="1" s="1"/>
  <c r="D136" i="1"/>
  <c r="C136" i="1"/>
  <c r="AW135" i="1"/>
  <c r="AU135" i="1"/>
  <c r="AS135" i="1"/>
  <c r="AP135" i="1"/>
  <c r="AO135" i="1"/>
  <c r="AN135" i="1"/>
  <c r="AK135" i="1"/>
  <c r="AH135" i="1"/>
  <c r="AG135" i="1"/>
  <c r="AD135" i="1"/>
  <c r="AF135" i="1" s="1"/>
  <c r="AC135" i="1"/>
  <c r="AB135" i="1"/>
  <c r="Y135" i="1"/>
  <c r="X135" i="1"/>
  <c r="U135" i="1"/>
  <c r="T135" i="1"/>
  <c r="Q135" i="1"/>
  <c r="P135" i="1"/>
  <c r="M135" i="1"/>
  <c r="L135" i="1"/>
  <c r="J135" i="1"/>
  <c r="I135" i="1"/>
  <c r="H135" i="1"/>
  <c r="E135" i="1"/>
  <c r="D135" i="1"/>
  <c r="AQ134" i="1"/>
  <c r="AP134" i="1"/>
  <c r="AR134" i="1" s="1"/>
  <c r="AL134" i="1"/>
  <c r="AI134" i="1"/>
  <c r="AK134" i="1" s="1"/>
  <c r="AH134" i="1"/>
  <c r="AG134" i="1"/>
  <c r="AE134" i="1"/>
  <c r="AD134" i="1"/>
  <c r="AD147" i="1" s="1"/>
  <c r="AA134" i="1"/>
  <c r="Z134" i="1"/>
  <c r="W134" i="1"/>
  <c r="V134" i="1"/>
  <c r="X134" i="1" s="1"/>
  <c r="U134" i="1"/>
  <c r="S134" i="1"/>
  <c r="R134" i="1"/>
  <c r="O134" i="1"/>
  <c r="Q134" i="1" s="1"/>
  <c r="N134" i="1"/>
  <c r="K134" i="1"/>
  <c r="M134" i="1" s="1"/>
  <c r="J134" i="1"/>
  <c r="G134" i="1"/>
  <c r="I134" i="1" s="1"/>
  <c r="C134" i="1"/>
  <c r="B134" i="1"/>
  <c r="AQ133" i="1"/>
  <c r="AS133" i="1" s="1"/>
  <c r="AM133" i="1"/>
  <c r="AK133" i="1"/>
  <c r="AJ133" i="1"/>
  <c r="AI133" i="1"/>
  <c r="AG133" i="1"/>
  <c r="AF133" i="1"/>
  <c r="AE133" i="1"/>
  <c r="AA133" i="1"/>
  <c r="AC133" i="1" s="1"/>
  <c r="X133" i="1"/>
  <c r="W133" i="1"/>
  <c r="Y133" i="1" s="1"/>
  <c r="U133" i="1"/>
  <c r="T133" i="1"/>
  <c r="S133" i="1"/>
  <c r="Q133" i="1"/>
  <c r="P133" i="1"/>
  <c r="O133" i="1"/>
  <c r="L133" i="1"/>
  <c r="K133" i="1"/>
  <c r="M133" i="1" s="1"/>
  <c r="G133" i="1"/>
  <c r="I133" i="1" s="1"/>
  <c r="F133" i="1"/>
  <c r="C133" i="1"/>
  <c r="E133" i="1" s="1"/>
  <c r="AW132" i="1"/>
  <c r="AU132" i="1"/>
  <c r="AT132" i="1"/>
  <c r="AV132" i="1" s="1"/>
  <c r="AS132" i="1"/>
  <c r="AR132" i="1"/>
  <c r="AO132" i="1"/>
  <c r="AN132" i="1"/>
  <c r="AK132" i="1"/>
  <c r="AJ132" i="1"/>
  <c r="AG132" i="1"/>
  <c r="AF132" i="1"/>
  <c r="AC132" i="1"/>
  <c r="AB132" i="1"/>
  <c r="Y132" i="1"/>
  <c r="X132" i="1"/>
  <c r="U132" i="1"/>
  <c r="T132" i="1"/>
  <c r="Q132" i="1"/>
  <c r="P132" i="1"/>
  <c r="M132" i="1"/>
  <c r="L132" i="1"/>
  <c r="I132" i="1"/>
  <c r="H132" i="1"/>
  <c r="E132" i="1"/>
  <c r="D132" i="1"/>
  <c r="AU131" i="1"/>
  <c r="AW131" i="1" s="1"/>
  <c r="AT131" i="1"/>
  <c r="AS131" i="1"/>
  <c r="AR131" i="1"/>
  <c r="AO131" i="1"/>
  <c r="AN131" i="1"/>
  <c r="AK131" i="1"/>
  <c r="AJ131" i="1"/>
  <c r="AG131" i="1"/>
  <c r="AF131" i="1"/>
  <c r="AC131" i="1"/>
  <c r="AB131" i="1"/>
  <c r="Y131" i="1"/>
  <c r="X131" i="1"/>
  <c r="U131" i="1"/>
  <c r="T131" i="1"/>
  <c r="Q131" i="1"/>
  <c r="P131" i="1"/>
  <c r="M131" i="1"/>
  <c r="L131" i="1"/>
  <c r="I131" i="1"/>
  <c r="H131" i="1"/>
  <c r="E131" i="1"/>
  <c r="D131" i="1"/>
  <c r="J130" i="1"/>
  <c r="AL129" i="1"/>
  <c r="AT128" i="1"/>
  <c r="AS128" i="1"/>
  <c r="AR128" i="1"/>
  <c r="AQ128" i="1"/>
  <c r="AO128" i="1"/>
  <c r="AN128" i="1"/>
  <c r="AM128" i="1"/>
  <c r="AI128" i="1"/>
  <c r="AK128" i="1" s="1"/>
  <c r="AH128" i="1"/>
  <c r="AJ128" i="1" s="1"/>
  <c r="AG128" i="1"/>
  <c r="AE128" i="1"/>
  <c r="AF128" i="1" s="1"/>
  <c r="AA128" i="1"/>
  <c r="AC128" i="1" s="1"/>
  <c r="W128" i="1"/>
  <c r="U128" i="1"/>
  <c r="T128" i="1"/>
  <c r="S128" i="1"/>
  <c r="O128" i="1"/>
  <c r="K128" i="1"/>
  <c r="M128" i="1" s="1"/>
  <c r="I128" i="1"/>
  <c r="G128" i="1"/>
  <c r="F128" i="1"/>
  <c r="H128" i="1" s="1"/>
  <c r="E128" i="1"/>
  <c r="D128" i="1"/>
  <c r="C128" i="1"/>
  <c r="AT127" i="1"/>
  <c r="AV127" i="1" s="1"/>
  <c r="AS127" i="1"/>
  <c r="AR127" i="1"/>
  <c r="AQ127" i="1"/>
  <c r="AP127" i="1"/>
  <c r="AO127" i="1"/>
  <c r="AN127" i="1"/>
  <c r="AM127" i="1"/>
  <c r="AI127" i="1"/>
  <c r="AK127" i="1" s="1"/>
  <c r="AF127" i="1"/>
  <c r="AE127" i="1"/>
  <c r="AG127" i="1" s="1"/>
  <c r="AC127" i="1"/>
  <c r="AB127" i="1"/>
  <c r="AA127" i="1"/>
  <c r="Y127" i="1"/>
  <c r="W127" i="1"/>
  <c r="V127" i="1"/>
  <c r="X127" i="1" s="1"/>
  <c r="U127" i="1"/>
  <c r="T127" i="1"/>
  <c r="S127" i="1"/>
  <c r="R127" i="1"/>
  <c r="Q127" i="1"/>
  <c r="P127" i="1"/>
  <c r="O127" i="1"/>
  <c r="K127" i="1"/>
  <c r="M127" i="1" s="1"/>
  <c r="H127" i="1"/>
  <c r="G127" i="1"/>
  <c r="I127" i="1" s="1"/>
  <c r="E127" i="1"/>
  <c r="D127" i="1"/>
  <c r="C127" i="1"/>
  <c r="AU127" i="1" s="1"/>
  <c r="AS126" i="1"/>
  <c r="AQ126" i="1"/>
  <c r="AJ126" i="1"/>
  <c r="AI126" i="1"/>
  <c r="AK126" i="1" s="1"/>
  <c r="AH126" i="1"/>
  <c r="N126" i="1"/>
  <c r="F126" i="1"/>
  <c r="AT125" i="1"/>
  <c r="AR125" i="1"/>
  <c r="AQ125" i="1"/>
  <c r="AS125" i="1" s="1"/>
  <c r="AO125" i="1"/>
  <c r="AM125" i="1"/>
  <c r="AM126" i="1" s="1"/>
  <c r="AO126" i="1" s="1"/>
  <c r="AI125" i="1"/>
  <c r="AK125" i="1" s="1"/>
  <c r="AE125" i="1"/>
  <c r="AC125" i="1"/>
  <c r="AB125" i="1"/>
  <c r="AA125" i="1"/>
  <c r="AA126" i="1" s="1"/>
  <c r="W125" i="1"/>
  <c r="T125" i="1"/>
  <c r="S125" i="1"/>
  <c r="S126" i="1" s="1"/>
  <c r="U126" i="1" s="1"/>
  <c r="Q125" i="1"/>
  <c r="O125" i="1"/>
  <c r="O126" i="1" s="1"/>
  <c r="M125" i="1"/>
  <c r="L125" i="1"/>
  <c r="K125" i="1"/>
  <c r="K126" i="1" s="1"/>
  <c r="M126" i="1" s="1"/>
  <c r="G125" i="1"/>
  <c r="I125" i="1" s="1"/>
  <c r="C125" i="1"/>
  <c r="AW124" i="1"/>
  <c r="AU124" i="1"/>
  <c r="AS124" i="1"/>
  <c r="AP124" i="1"/>
  <c r="AP126" i="1" s="1"/>
  <c r="AR126" i="1" s="1"/>
  <c r="AO124" i="1"/>
  <c r="AN124" i="1"/>
  <c r="AL124" i="1"/>
  <c r="AL126" i="1" s="1"/>
  <c r="AK124" i="1"/>
  <c r="AH124" i="1"/>
  <c r="AJ124" i="1" s="1"/>
  <c r="AG124" i="1"/>
  <c r="AD124" i="1"/>
  <c r="AD126" i="1" s="1"/>
  <c r="AC124" i="1"/>
  <c r="Z124" i="1"/>
  <c r="AB124" i="1" s="1"/>
  <c r="Y124" i="1"/>
  <c r="X124" i="1"/>
  <c r="V124" i="1"/>
  <c r="V126" i="1" s="1"/>
  <c r="U124" i="1"/>
  <c r="R124" i="1"/>
  <c r="Q124" i="1"/>
  <c r="P124" i="1"/>
  <c r="N124" i="1"/>
  <c r="M124" i="1"/>
  <c r="J124" i="1"/>
  <c r="J126" i="1" s="1"/>
  <c r="I124" i="1"/>
  <c r="H124" i="1"/>
  <c r="F124" i="1"/>
  <c r="E124" i="1"/>
  <c r="B124" i="1"/>
  <c r="D124" i="1" s="1"/>
  <c r="AU123" i="1"/>
  <c r="AW123" i="1" s="1"/>
  <c r="AT123" i="1"/>
  <c r="AS123" i="1"/>
  <c r="AR123" i="1"/>
  <c r="AO123" i="1"/>
  <c r="AN123" i="1"/>
  <c r="AL123" i="1"/>
  <c r="AK123" i="1"/>
  <c r="AJ123" i="1"/>
  <c r="AG123" i="1"/>
  <c r="AF123" i="1"/>
  <c r="AC123" i="1"/>
  <c r="AB123" i="1"/>
  <c r="Y123" i="1"/>
  <c r="X123" i="1"/>
  <c r="U123" i="1"/>
  <c r="T123" i="1"/>
  <c r="Q123" i="1"/>
  <c r="P123" i="1"/>
  <c r="M123" i="1"/>
  <c r="L123" i="1"/>
  <c r="I123" i="1"/>
  <c r="H123" i="1"/>
  <c r="E123" i="1"/>
  <c r="D123" i="1"/>
  <c r="AS122" i="1"/>
  <c r="AQ122" i="1"/>
  <c r="AP122" i="1"/>
  <c r="AR122" i="1" s="1"/>
  <c r="AO122" i="1"/>
  <c r="AM122" i="1"/>
  <c r="AL122" i="1"/>
  <c r="AN122" i="1" s="1"/>
  <c r="AI122" i="1"/>
  <c r="AK122" i="1" s="1"/>
  <c r="AH122" i="1"/>
  <c r="AG122" i="1"/>
  <c r="AF122" i="1"/>
  <c r="AE122" i="1"/>
  <c r="AC122" i="1"/>
  <c r="AB122" i="1"/>
  <c r="AA122" i="1"/>
  <c r="Z122" i="1"/>
  <c r="X122" i="1"/>
  <c r="W122" i="1"/>
  <c r="Y122" i="1" s="1"/>
  <c r="V122" i="1"/>
  <c r="U122" i="1"/>
  <c r="T122" i="1"/>
  <c r="S122" i="1"/>
  <c r="R122" i="1"/>
  <c r="Q122" i="1"/>
  <c r="O122" i="1"/>
  <c r="N122" i="1"/>
  <c r="P122" i="1" s="1"/>
  <c r="M122" i="1"/>
  <c r="L122" i="1"/>
  <c r="K122" i="1"/>
  <c r="J122" i="1"/>
  <c r="I122" i="1"/>
  <c r="H122" i="1"/>
  <c r="G122" i="1"/>
  <c r="F122" i="1"/>
  <c r="D122" i="1"/>
  <c r="C122" i="1"/>
  <c r="B122" i="1"/>
  <c r="AT121" i="1"/>
  <c r="AS121" i="1"/>
  <c r="AR121" i="1"/>
  <c r="AQ121" i="1"/>
  <c r="AO121" i="1"/>
  <c r="AN121" i="1"/>
  <c r="AM121" i="1"/>
  <c r="AI121" i="1"/>
  <c r="AK121" i="1" s="1"/>
  <c r="AG121" i="1"/>
  <c r="AE121" i="1"/>
  <c r="AF121" i="1" s="1"/>
  <c r="AB121" i="1"/>
  <c r="AA121" i="1"/>
  <c r="AC121" i="1" s="1"/>
  <c r="Y121" i="1"/>
  <c r="W121" i="1"/>
  <c r="X121" i="1" s="1"/>
  <c r="S121" i="1"/>
  <c r="U121" i="1" s="1"/>
  <c r="O121" i="1"/>
  <c r="M121" i="1"/>
  <c r="L121" i="1"/>
  <c r="K121" i="1"/>
  <c r="G121" i="1"/>
  <c r="D121" i="1"/>
  <c r="C121" i="1"/>
  <c r="AU121" i="1" s="1"/>
  <c r="AS120" i="1"/>
  <c r="AQ120" i="1"/>
  <c r="AQ129" i="1" s="1"/>
  <c r="AS129" i="1" s="1"/>
  <c r="AP120" i="1"/>
  <c r="AR120" i="1" s="1"/>
  <c r="AM120" i="1"/>
  <c r="AK120" i="1"/>
  <c r="AJ120" i="1"/>
  <c r="AI120" i="1"/>
  <c r="AH120" i="1"/>
  <c r="AG120" i="1"/>
  <c r="AF120" i="1"/>
  <c r="AE120" i="1"/>
  <c r="AD120" i="1"/>
  <c r="AD129" i="1" s="1"/>
  <c r="AB120" i="1"/>
  <c r="AA120" i="1"/>
  <c r="AC120" i="1" s="1"/>
  <c r="Z120" i="1"/>
  <c r="Y120" i="1"/>
  <c r="X120" i="1"/>
  <c r="W120" i="1"/>
  <c r="V120" i="1"/>
  <c r="U120" i="1"/>
  <c r="S120" i="1"/>
  <c r="R120" i="1"/>
  <c r="T120" i="1" s="1"/>
  <c r="Q120" i="1"/>
  <c r="P120" i="1"/>
  <c r="O120" i="1"/>
  <c r="N120" i="1"/>
  <c r="M120" i="1"/>
  <c r="L120" i="1"/>
  <c r="K120" i="1"/>
  <c r="J120" i="1"/>
  <c r="J129" i="1" s="1"/>
  <c r="G120" i="1"/>
  <c r="I120" i="1" s="1"/>
  <c r="F120" i="1"/>
  <c r="H120" i="1" s="1"/>
  <c r="E120" i="1"/>
  <c r="D120" i="1"/>
  <c r="C120" i="1"/>
  <c r="AU119" i="1"/>
  <c r="AW119" i="1" s="1"/>
  <c r="AS119" i="1"/>
  <c r="AR119" i="1"/>
  <c r="AP119" i="1"/>
  <c r="AO119" i="1"/>
  <c r="AL119" i="1"/>
  <c r="AN119" i="1" s="1"/>
  <c r="AK119" i="1"/>
  <c r="AH119" i="1"/>
  <c r="AJ119" i="1" s="1"/>
  <c r="AG119" i="1"/>
  <c r="AF119" i="1"/>
  <c r="AC119" i="1"/>
  <c r="AB119" i="1"/>
  <c r="Z119" i="1"/>
  <c r="Y119" i="1"/>
  <c r="X119" i="1"/>
  <c r="U119" i="1"/>
  <c r="R119" i="1"/>
  <c r="T119" i="1" s="1"/>
  <c r="Q119" i="1"/>
  <c r="N119" i="1"/>
  <c r="M119" i="1"/>
  <c r="L119" i="1"/>
  <c r="J119" i="1"/>
  <c r="AT119" i="1" s="1"/>
  <c r="AV119" i="1" s="1"/>
  <c r="I119" i="1"/>
  <c r="H119" i="1"/>
  <c r="F119" i="1"/>
  <c r="E119" i="1"/>
  <c r="D119" i="1"/>
  <c r="AM118" i="1"/>
  <c r="R118" i="1"/>
  <c r="J118" i="1"/>
  <c r="AU117" i="1"/>
  <c r="AW117" i="1" s="1"/>
  <c r="AT117" i="1"/>
  <c r="AS117" i="1"/>
  <c r="AR117" i="1"/>
  <c r="AQ117" i="1"/>
  <c r="AO117" i="1"/>
  <c r="AN117" i="1"/>
  <c r="AM117" i="1"/>
  <c r="AI117" i="1"/>
  <c r="AK117" i="1" s="1"/>
  <c r="AF117" i="1"/>
  <c r="AE117" i="1"/>
  <c r="AG117" i="1" s="1"/>
  <c r="AC117" i="1"/>
  <c r="AB117" i="1"/>
  <c r="AA117" i="1"/>
  <c r="Y117" i="1"/>
  <c r="X117" i="1"/>
  <c r="W117" i="1"/>
  <c r="T117" i="1"/>
  <c r="S117" i="1"/>
  <c r="U117" i="1" s="1"/>
  <c r="O117" i="1"/>
  <c r="Q117" i="1" s="1"/>
  <c r="M117" i="1"/>
  <c r="K117" i="1"/>
  <c r="L117" i="1" s="1"/>
  <c r="H117" i="1"/>
  <c r="G117" i="1"/>
  <c r="I117" i="1" s="1"/>
  <c r="E117" i="1"/>
  <c r="C117" i="1"/>
  <c r="D117" i="1" s="1"/>
  <c r="AT116" i="1"/>
  <c r="AQ116" i="1"/>
  <c r="AS116" i="1" s="1"/>
  <c r="AO116" i="1"/>
  <c r="AN116" i="1"/>
  <c r="AM116" i="1"/>
  <c r="AK116" i="1"/>
  <c r="AJ116" i="1"/>
  <c r="AI116" i="1"/>
  <c r="AE116" i="1"/>
  <c r="AG116" i="1" s="1"/>
  <c r="AB116" i="1"/>
  <c r="AA116" i="1"/>
  <c r="AC116" i="1" s="1"/>
  <c r="Y116" i="1"/>
  <c r="X116" i="1"/>
  <c r="W116" i="1"/>
  <c r="U116" i="1"/>
  <c r="T116" i="1"/>
  <c r="S116" i="1"/>
  <c r="Q116" i="1"/>
  <c r="P116" i="1"/>
  <c r="O116" i="1"/>
  <c r="K116" i="1"/>
  <c r="M116" i="1" s="1"/>
  <c r="I116" i="1"/>
  <c r="G116" i="1"/>
  <c r="H116" i="1" s="1"/>
  <c r="D116" i="1"/>
  <c r="C116" i="1"/>
  <c r="AT115" i="1"/>
  <c r="AQ115" i="1"/>
  <c r="AS115" i="1" s="1"/>
  <c r="AM115" i="1"/>
  <c r="AK115" i="1"/>
  <c r="AJ115" i="1"/>
  <c r="AI115" i="1"/>
  <c r="AG115" i="1"/>
  <c r="AF115" i="1"/>
  <c r="AE115" i="1"/>
  <c r="AA115" i="1"/>
  <c r="AC115" i="1" s="1"/>
  <c r="X115" i="1"/>
  <c r="W115" i="1"/>
  <c r="Y115" i="1" s="1"/>
  <c r="U115" i="1"/>
  <c r="T115" i="1"/>
  <c r="S115" i="1"/>
  <c r="Q115" i="1"/>
  <c r="P115" i="1"/>
  <c r="O115" i="1"/>
  <c r="L115" i="1"/>
  <c r="K115" i="1"/>
  <c r="M115" i="1" s="1"/>
  <c r="G115" i="1"/>
  <c r="I115" i="1" s="1"/>
  <c r="E115" i="1"/>
  <c r="C115" i="1"/>
  <c r="D115" i="1" s="1"/>
  <c r="AT114" i="1"/>
  <c r="AS114" i="1"/>
  <c r="AR114" i="1"/>
  <c r="AQ114" i="1"/>
  <c r="AP114" i="1"/>
  <c r="AO114" i="1"/>
  <c r="AN114" i="1"/>
  <c r="AM114" i="1"/>
  <c r="AK114" i="1"/>
  <c r="AJ114" i="1"/>
  <c r="AI114" i="1"/>
  <c r="AH114" i="1"/>
  <c r="AE114" i="1"/>
  <c r="AD114" i="1"/>
  <c r="AA114" i="1"/>
  <c r="AC114" i="1" s="1"/>
  <c r="Z114" i="1"/>
  <c r="AB114" i="1" s="1"/>
  <c r="Y114" i="1"/>
  <c r="W114" i="1"/>
  <c r="X114" i="1" s="1"/>
  <c r="V114" i="1"/>
  <c r="S114" i="1"/>
  <c r="U114" i="1" s="1"/>
  <c r="R114" i="1"/>
  <c r="Q114" i="1"/>
  <c r="P114" i="1"/>
  <c r="O114" i="1"/>
  <c r="N114" i="1"/>
  <c r="K114" i="1"/>
  <c r="J114" i="1"/>
  <c r="G114" i="1"/>
  <c r="I114" i="1" s="1"/>
  <c r="F114" i="1"/>
  <c r="H114" i="1" s="1"/>
  <c r="E114" i="1"/>
  <c r="C114" i="1"/>
  <c r="B114" i="1"/>
  <c r="AS113" i="1"/>
  <c r="AR113" i="1"/>
  <c r="AQ113" i="1"/>
  <c r="AM113" i="1"/>
  <c r="AO113" i="1" s="1"/>
  <c r="AK113" i="1"/>
  <c r="AI113" i="1"/>
  <c r="AJ113" i="1" s="1"/>
  <c r="AF113" i="1"/>
  <c r="AE113" i="1"/>
  <c r="AG113" i="1" s="1"/>
  <c r="AC113" i="1"/>
  <c r="AA113" i="1"/>
  <c r="AB113" i="1" s="1"/>
  <c r="W113" i="1"/>
  <c r="Y113" i="1" s="1"/>
  <c r="S113" i="1"/>
  <c r="Q113" i="1"/>
  <c r="P113" i="1"/>
  <c r="O113" i="1"/>
  <c r="K113" i="1"/>
  <c r="H113" i="1"/>
  <c r="G113" i="1"/>
  <c r="I113" i="1" s="1"/>
  <c r="C113" i="1"/>
  <c r="B113" i="1"/>
  <c r="AT113" i="1" s="1"/>
  <c r="AT112" i="1"/>
  <c r="AQ112" i="1"/>
  <c r="AO112" i="1"/>
  <c r="AN112" i="1"/>
  <c r="AM112" i="1"/>
  <c r="AI112" i="1"/>
  <c r="AF112" i="1"/>
  <c r="AE112" i="1"/>
  <c r="AG112" i="1" s="1"/>
  <c r="AA112" i="1"/>
  <c r="AC112" i="1" s="1"/>
  <c r="Y112" i="1"/>
  <c r="X112" i="1"/>
  <c r="W112" i="1"/>
  <c r="S112" i="1"/>
  <c r="U112" i="1" s="1"/>
  <c r="O112" i="1"/>
  <c r="Q112" i="1" s="1"/>
  <c r="M112" i="1"/>
  <c r="L112" i="1"/>
  <c r="K112" i="1"/>
  <c r="I112" i="1"/>
  <c r="H112" i="1"/>
  <c r="G112" i="1"/>
  <c r="C112" i="1"/>
  <c r="AQ111" i="1"/>
  <c r="AS111" i="1" s="1"/>
  <c r="AP111" i="1"/>
  <c r="AR111" i="1" s="1"/>
  <c r="AM111" i="1"/>
  <c r="AO111" i="1" s="1"/>
  <c r="AL111" i="1"/>
  <c r="AN111" i="1" s="1"/>
  <c r="AI111" i="1"/>
  <c r="AK111" i="1" s="1"/>
  <c r="AH111" i="1"/>
  <c r="AE111" i="1"/>
  <c r="AG111" i="1" s="1"/>
  <c r="AD111" i="1"/>
  <c r="AF111" i="1" s="1"/>
  <c r="AB111" i="1"/>
  <c r="AA111" i="1"/>
  <c r="AC111" i="1" s="1"/>
  <c r="Z111" i="1"/>
  <c r="W111" i="1"/>
  <c r="Y111" i="1" s="1"/>
  <c r="V111" i="1"/>
  <c r="X111" i="1" s="1"/>
  <c r="S111" i="1"/>
  <c r="T111" i="1" s="1"/>
  <c r="R111" i="1"/>
  <c r="O111" i="1"/>
  <c r="Q111" i="1" s="1"/>
  <c r="N111" i="1"/>
  <c r="L111" i="1"/>
  <c r="K111" i="1"/>
  <c r="M111" i="1" s="1"/>
  <c r="G111" i="1"/>
  <c r="I111" i="1" s="1"/>
  <c r="F111" i="1"/>
  <c r="H111" i="1" s="1"/>
  <c r="E111" i="1"/>
  <c r="C111" i="1"/>
  <c r="C118" i="1" s="1"/>
  <c r="B111" i="1"/>
  <c r="D111" i="1" s="1"/>
  <c r="AU110" i="1"/>
  <c r="AW110" i="1" s="1"/>
  <c r="AT110" i="1"/>
  <c r="AV110" i="1" s="1"/>
  <c r="AS110" i="1"/>
  <c r="AR110" i="1"/>
  <c r="AO110" i="1"/>
  <c r="AL110" i="1"/>
  <c r="AK110" i="1"/>
  <c r="AJ110" i="1"/>
  <c r="AH110" i="1"/>
  <c r="AG110" i="1"/>
  <c r="AF110" i="1"/>
  <c r="AC110" i="1"/>
  <c r="Z110" i="1"/>
  <c r="Z118" i="1" s="1"/>
  <c r="Y110" i="1"/>
  <c r="X110" i="1"/>
  <c r="U110" i="1"/>
  <c r="T110" i="1"/>
  <c r="Q110" i="1"/>
  <c r="P110" i="1"/>
  <c r="N110" i="1"/>
  <c r="M110" i="1"/>
  <c r="L110" i="1"/>
  <c r="I110" i="1"/>
  <c r="H110" i="1"/>
  <c r="E110" i="1"/>
  <c r="D110" i="1"/>
  <c r="AT109" i="1"/>
  <c r="AS109" i="1"/>
  <c r="AQ109" i="1"/>
  <c r="AM109" i="1"/>
  <c r="AO109" i="1" s="1"/>
  <c r="AI109" i="1"/>
  <c r="AG109" i="1"/>
  <c r="AF109" i="1"/>
  <c r="AE109" i="1"/>
  <c r="AA109" i="1"/>
  <c r="X109" i="1"/>
  <c r="W109" i="1"/>
  <c r="Y109" i="1" s="1"/>
  <c r="S109" i="1"/>
  <c r="U109" i="1" s="1"/>
  <c r="Q109" i="1"/>
  <c r="P109" i="1"/>
  <c r="O109" i="1"/>
  <c r="K109" i="1"/>
  <c r="M109" i="1" s="1"/>
  <c r="H109" i="1"/>
  <c r="G109" i="1"/>
  <c r="E109" i="1"/>
  <c r="D109" i="1"/>
  <c r="C109" i="1"/>
  <c r="AW108" i="1"/>
  <c r="AV108" i="1"/>
  <c r="AU108" i="1"/>
  <c r="AT108" i="1"/>
  <c r="AS108" i="1"/>
  <c r="AR108" i="1"/>
  <c r="AO108" i="1"/>
  <c r="AN108" i="1"/>
  <c r="AK108" i="1"/>
  <c r="AJ108" i="1"/>
  <c r="AG108" i="1"/>
  <c r="AF108" i="1"/>
  <c r="AC108" i="1"/>
  <c r="AB108" i="1"/>
  <c r="Y108" i="1"/>
  <c r="X108" i="1"/>
  <c r="U108" i="1"/>
  <c r="T108" i="1"/>
  <c r="Q108" i="1"/>
  <c r="P108" i="1"/>
  <c r="M108" i="1"/>
  <c r="L108" i="1"/>
  <c r="I108" i="1"/>
  <c r="H108" i="1"/>
  <c r="E108" i="1"/>
  <c r="D108" i="1"/>
  <c r="AP106" i="1"/>
  <c r="V106" i="1"/>
  <c r="AR105" i="1"/>
  <c r="AQ105" i="1"/>
  <c r="AS105" i="1" s="1"/>
  <c r="AO105" i="1"/>
  <c r="AN105" i="1"/>
  <c r="AM105" i="1"/>
  <c r="AK105" i="1"/>
  <c r="AI105" i="1"/>
  <c r="AH105" i="1"/>
  <c r="AJ105" i="1" s="1"/>
  <c r="AG105" i="1"/>
  <c r="AF105" i="1"/>
  <c r="AE105" i="1"/>
  <c r="AD105" i="1"/>
  <c r="AC105" i="1"/>
  <c r="AB105" i="1"/>
  <c r="AA105" i="1"/>
  <c r="Z105" i="1"/>
  <c r="Y105" i="1"/>
  <c r="W105" i="1"/>
  <c r="V105" i="1"/>
  <c r="U105" i="1"/>
  <c r="T105" i="1"/>
  <c r="S105" i="1"/>
  <c r="O105" i="1"/>
  <c r="Q105" i="1" s="1"/>
  <c r="N105" i="1"/>
  <c r="M105" i="1"/>
  <c r="L105" i="1"/>
  <c r="K105" i="1"/>
  <c r="J105" i="1"/>
  <c r="G105" i="1"/>
  <c r="F105" i="1"/>
  <c r="D105" i="1"/>
  <c r="C105" i="1"/>
  <c r="E105" i="1" s="1"/>
  <c r="B105" i="1"/>
  <c r="AQ104" i="1"/>
  <c r="AS104" i="1" s="1"/>
  <c r="AN104" i="1"/>
  <c r="AM104" i="1"/>
  <c r="AO104" i="1" s="1"/>
  <c r="AL104" i="1"/>
  <c r="AI104" i="1"/>
  <c r="AK104" i="1" s="1"/>
  <c r="AH104" i="1"/>
  <c r="AJ104" i="1" s="1"/>
  <c r="AE104" i="1"/>
  <c r="AG104" i="1" s="1"/>
  <c r="AD104" i="1"/>
  <c r="AF104" i="1" s="1"/>
  <c r="AB104" i="1"/>
  <c r="AA104" i="1"/>
  <c r="AC104" i="1" s="1"/>
  <c r="Y104" i="1"/>
  <c r="W104" i="1"/>
  <c r="V104" i="1"/>
  <c r="X104" i="1" s="1"/>
  <c r="S104" i="1"/>
  <c r="U104" i="1" s="1"/>
  <c r="R104" i="1"/>
  <c r="T104" i="1" s="1"/>
  <c r="Q104" i="1"/>
  <c r="O104" i="1"/>
  <c r="N104" i="1"/>
  <c r="P104" i="1" s="1"/>
  <c r="M104" i="1"/>
  <c r="K104" i="1"/>
  <c r="J104" i="1"/>
  <c r="L104" i="1" s="1"/>
  <c r="G104" i="1"/>
  <c r="I104" i="1" s="1"/>
  <c r="F104" i="1"/>
  <c r="H104" i="1" s="1"/>
  <c r="E104" i="1"/>
  <c r="C104" i="1"/>
  <c r="B104" i="1"/>
  <c r="AU103" i="1"/>
  <c r="AS103" i="1"/>
  <c r="AQ103" i="1"/>
  <c r="AP103" i="1"/>
  <c r="AR103" i="1" s="1"/>
  <c r="AO103" i="1"/>
  <c r="AM103" i="1"/>
  <c r="AL103" i="1"/>
  <c r="AN103" i="1" s="1"/>
  <c r="AI103" i="1"/>
  <c r="AK103" i="1" s="1"/>
  <c r="AH103" i="1"/>
  <c r="AJ103" i="1" s="1"/>
  <c r="AG103" i="1"/>
  <c r="AE103" i="1"/>
  <c r="AD103" i="1"/>
  <c r="AF103" i="1" s="1"/>
  <c r="AA103" i="1"/>
  <c r="AC103" i="1" s="1"/>
  <c r="Z103" i="1"/>
  <c r="AB103" i="1" s="1"/>
  <c r="Y103" i="1"/>
  <c r="W103" i="1"/>
  <c r="V103" i="1"/>
  <c r="X103" i="1" s="1"/>
  <c r="U103" i="1"/>
  <c r="S103" i="1"/>
  <c r="R103" i="1"/>
  <c r="T103" i="1" s="1"/>
  <c r="O103" i="1"/>
  <c r="Q103" i="1" s="1"/>
  <c r="N103" i="1"/>
  <c r="P103" i="1" s="1"/>
  <c r="M103" i="1"/>
  <c r="K103" i="1"/>
  <c r="J103" i="1"/>
  <c r="L103" i="1" s="1"/>
  <c r="G103" i="1"/>
  <c r="I103" i="1" s="1"/>
  <c r="F103" i="1"/>
  <c r="E103" i="1"/>
  <c r="C103" i="1"/>
  <c r="B103" i="1"/>
  <c r="D103" i="1" s="1"/>
  <c r="AQ102" i="1"/>
  <c r="AS102" i="1" s="1"/>
  <c r="AO102" i="1"/>
  <c r="AN102" i="1"/>
  <c r="AM102" i="1"/>
  <c r="AI102" i="1"/>
  <c r="AK102" i="1" s="1"/>
  <c r="AH102" i="1"/>
  <c r="AJ102" i="1" s="1"/>
  <c r="AF102" i="1"/>
  <c r="AE102" i="1"/>
  <c r="AG102" i="1" s="1"/>
  <c r="AD102" i="1"/>
  <c r="AA102" i="1"/>
  <c r="Z102" i="1"/>
  <c r="X102" i="1"/>
  <c r="W102" i="1"/>
  <c r="Y102" i="1" s="1"/>
  <c r="V102" i="1"/>
  <c r="U102" i="1"/>
  <c r="S102" i="1"/>
  <c r="T102" i="1" s="1"/>
  <c r="P102" i="1"/>
  <c r="O102" i="1"/>
  <c r="Q102" i="1" s="1"/>
  <c r="N102" i="1"/>
  <c r="L102" i="1"/>
  <c r="K102" i="1"/>
  <c r="M102" i="1" s="1"/>
  <c r="J102" i="1"/>
  <c r="AT102" i="1" s="1"/>
  <c r="G102" i="1"/>
  <c r="I102" i="1" s="1"/>
  <c r="F102" i="1"/>
  <c r="H102" i="1" s="1"/>
  <c r="C102" i="1"/>
  <c r="B102" i="1"/>
  <c r="D102" i="1" s="1"/>
  <c r="AR101" i="1"/>
  <c r="AQ101" i="1"/>
  <c r="AS101" i="1" s="1"/>
  <c r="AP101" i="1"/>
  <c r="AM101" i="1"/>
  <c r="AN101" i="1" s="1"/>
  <c r="AL101" i="1"/>
  <c r="AI101" i="1"/>
  <c r="AK101" i="1" s="1"/>
  <c r="AH101" i="1"/>
  <c r="AJ101" i="1" s="1"/>
  <c r="AE101" i="1"/>
  <c r="AG101" i="1" s="1"/>
  <c r="AD101" i="1"/>
  <c r="AB101" i="1"/>
  <c r="AA101" i="1"/>
  <c r="AC101" i="1" s="1"/>
  <c r="Z101" i="1"/>
  <c r="X101" i="1"/>
  <c r="W101" i="1"/>
  <c r="Y101" i="1" s="1"/>
  <c r="V101" i="1"/>
  <c r="S101" i="1"/>
  <c r="U101" i="1" s="1"/>
  <c r="R101" i="1"/>
  <c r="T101" i="1" s="1"/>
  <c r="O101" i="1"/>
  <c r="Q101" i="1" s="1"/>
  <c r="N101" i="1"/>
  <c r="P101" i="1" s="1"/>
  <c r="K101" i="1"/>
  <c r="M101" i="1" s="1"/>
  <c r="J101" i="1"/>
  <c r="L101" i="1" s="1"/>
  <c r="H101" i="1"/>
  <c r="G101" i="1"/>
  <c r="I101" i="1" s="1"/>
  <c r="F101" i="1"/>
  <c r="D101" i="1"/>
  <c r="C101" i="1"/>
  <c r="E101" i="1" s="1"/>
  <c r="B101" i="1"/>
  <c r="AR100" i="1"/>
  <c r="AQ100" i="1"/>
  <c r="AS100" i="1" s="1"/>
  <c r="AP100" i="1"/>
  <c r="AM100" i="1"/>
  <c r="AO100" i="1" s="1"/>
  <c r="AL100" i="1"/>
  <c r="AN100" i="1" s="1"/>
  <c r="AJ100" i="1"/>
  <c r="AI100" i="1"/>
  <c r="AK100" i="1" s="1"/>
  <c r="AH100" i="1"/>
  <c r="AF100" i="1"/>
  <c r="AE100" i="1"/>
  <c r="AG100" i="1" s="1"/>
  <c r="AD100" i="1"/>
  <c r="AA100" i="1"/>
  <c r="AU100" i="1" s="1"/>
  <c r="Z100" i="1"/>
  <c r="W100" i="1"/>
  <c r="Y100" i="1" s="1"/>
  <c r="V100" i="1"/>
  <c r="X100" i="1" s="1"/>
  <c r="S100" i="1"/>
  <c r="U100" i="1" s="1"/>
  <c r="R100" i="1"/>
  <c r="T100" i="1" s="1"/>
  <c r="P100" i="1"/>
  <c r="O100" i="1"/>
  <c r="Q100" i="1" s="1"/>
  <c r="N100" i="1"/>
  <c r="L100" i="1"/>
  <c r="K100" i="1"/>
  <c r="M100" i="1" s="1"/>
  <c r="J100" i="1"/>
  <c r="I100" i="1"/>
  <c r="H100" i="1"/>
  <c r="G100" i="1"/>
  <c r="F100" i="1"/>
  <c r="F106" i="1" s="1"/>
  <c r="C100" i="1"/>
  <c r="B100" i="1"/>
  <c r="D100" i="1" s="1"/>
  <c r="AR99" i="1"/>
  <c r="AQ99" i="1"/>
  <c r="AS99" i="1" s="1"/>
  <c r="AP99" i="1"/>
  <c r="AN99" i="1"/>
  <c r="AM99" i="1"/>
  <c r="AO99" i="1" s="1"/>
  <c r="AL99" i="1"/>
  <c r="AI99" i="1"/>
  <c r="AG99" i="1"/>
  <c r="AE99" i="1"/>
  <c r="AD99" i="1"/>
  <c r="AD106" i="1" s="1"/>
  <c r="AC99" i="1"/>
  <c r="AB99" i="1"/>
  <c r="AA99" i="1"/>
  <c r="Z99" i="1"/>
  <c r="X99" i="1"/>
  <c r="W99" i="1"/>
  <c r="Y99" i="1" s="1"/>
  <c r="U99" i="1"/>
  <c r="S99" i="1"/>
  <c r="R99" i="1"/>
  <c r="O99" i="1"/>
  <c r="N99" i="1"/>
  <c r="M99" i="1"/>
  <c r="L99" i="1"/>
  <c r="K99" i="1"/>
  <c r="K106" i="1" s="1"/>
  <c r="M106" i="1" s="1"/>
  <c r="J99" i="1"/>
  <c r="G99" i="1"/>
  <c r="F99" i="1"/>
  <c r="C99" i="1"/>
  <c r="B99" i="1"/>
  <c r="AW98" i="1"/>
  <c r="AU98" i="1"/>
  <c r="AT98" i="1"/>
  <c r="AV98" i="1" s="1"/>
  <c r="AS98" i="1"/>
  <c r="AR98" i="1"/>
  <c r="AO98" i="1"/>
  <c r="AN98" i="1"/>
  <c r="AK98" i="1"/>
  <c r="AJ98" i="1"/>
  <c r="AG98" i="1"/>
  <c r="AF98" i="1"/>
  <c r="AC98" i="1"/>
  <c r="AB98" i="1"/>
  <c r="Y98" i="1"/>
  <c r="X98" i="1"/>
  <c r="U98" i="1"/>
  <c r="T98" i="1"/>
  <c r="Q98" i="1"/>
  <c r="P98" i="1"/>
  <c r="M98" i="1"/>
  <c r="L98" i="1"/>
  <c r="I98" i="1"/>
  <c r="H98" i="1"/>
  <c r="E98" i="1"/>
  <c r="D98" i="1"/>
  <c r="AQ97" i="1"/>
  <c r="AS97" i="1" s="1"/>
  <c r="AP97" i="1"/>
  <c r="AR97" i="1" s="1"/>
  <c r="AO97" i="1"/>
  <c r="AM97" i="1"/>
  <c r="AN97" i="1" s="1"/>
  <c r="AJ97" i="1"/>
  <c r="AI97" i="1"/>
  <c r="AK97" i="1" s="1"/>
  <c r="AG97" i="1"/>
  <c r="AE97" i="1"/>
  <c r="AD97" i="1"/>
  <c r="AF97" i="1" s="1"/>
  <c r="AA97" i="1"/>
  <c r="Y97" i="1"/>
  <c r="X97" i="1"/>
  <c r="W97" i="1"/>
  <c r="S97" i="1"/>
  <c r="U97" i="1" s="1"/>
  <c r="R97" i="1"/>
  <c r="T97" i="1" s="1"/>
  <c r="O97" i="1"/>
  <c r="L97" i="1"/>
  <c r="K97" i="1"/>
  <c r="M97" i="1" s="1"/>
  <c r="I97" i="1"/>
  <c r="G97" i="1"/>
  <c r="F97" i="1"/>
  <c r="H97" i="1" s="1"/>
  <c r="C97" i="1"/>
  <c r="AD96" i="1"/>
  <c r="AT95" i="1"/>
  <c r="AS95" i="1"/>
  <c r="AQ95" i="1"/>
  <c r="AR95" i="1" s="1"/>
  <c r="AN95" i="1"/>
  <c r="AM95" i="1"/>
  <c r="AO95" i="1" s="1"/>
  <c r="AI95" i="1"/>
  <c r="AK95" i="1" s="1"/>
  <c r="AG95" i="1"/>
  <c r="AF95" i="1"/>
  <c r="AE95" i="1"/>
  <c r="AC95" i="1"/>
  <c r="AA95" i="1"/>
  <c r="AB95" i="1" s="1"/>
  <c r="W95" i="1"/>
  <c r="Y95" i="1" s="1"/>
  <c r="T95" i="1"/>
  <c r="S95" i="1"/>
  <c r="U95" i="1" s="1"/>
  <c r="Q95" i="1"/>
  <c r="P95" i="1"/>
  <c r="O95" i="1"/>
  <c r="M95" i="1"/>
  <c r="K95" i="1"/>
  <c r="L95" i="1" s="1"/>
  <c r="G95" i="1"/>
  <c r="F95" i="1"/>
  <c r="D95" i="1"/>
  <c r="C95" i="1"/>
  <c r="E95" i="1" s="1"/>
  <c r="B95" i="1"/>
  <c r="AT94" i="1"/>
  <c r="AS94" i="1"/>
  <c r="AR94" i="1"/>
  <c r="AQ94" i="1"/>
  <c r="AM94" i="1"/>
  <c r="AI94" i="1"/>
  <c r="AG94" i="1"/>
  <c r="AE94" i="1"/>
  <c r="AF94" i="1" s="1"/>
  <c r="AB94" i="1"/>
  <c r="AA94" i="1"/>
  <c r="AC94" i="1" s="1"/>
  <c r="W94" i="1"/>
  <c r="U94" i="1"/>
  <c r="S94" i="1"/>
  <c r="T94" i="1" s="1"/>
  <c r="Q94" i="1"/>
  <c r="O94" i="1"/>
  <c r="P94" i="1" s="1"/>
  <c r="L94" i="1"/>
  <c r="K94" i="1"/>
  <c r="M94" i="1" s="1"/>
  <c r="G94" i="1"/>
  <c r="E94" i="1"/>
  <c r="D94" i="1"/>
  <c r="C94" i="1"/>
  <c r="AU93" i="1"/>
  <c r="AW93" i="1" s="1"/>
  <c r="AT93" i="1"/>
  <c r="AS93" i="1"/>
  <c r="AQ93" i="1"/>
  <c r="AP93" i="1"/>
  <c r="AR93" i="1" s="1"/>
  <c r="AO93" i="1"/>
  <c r="AM93" i="1"/>
  <c r="AN93" i="1" s="1"/>
  <c r="AJ93" i="1"/>
  <c r="AI93" i="1"/>
  <c r="AK93" i="1" s="1"/>
  <c r="AE93" i="1"/>
  <c r="AG93" i="1" s="1"/>
  <c r="AC93" i="1"/>
  <c r="AB93" i="1"/>
  <c r="AA93" i="1"/>
  <c r="W93" i="1"/>
  <c r="X93" i="1" s="1"/>
  <c r="U93" i="1"/>
  <c r="T93" i="1"/>
  <c r="S93" i="1"/>
  <c r="P93" i="1"/>
  <c r="O93" i="1"/>
  <c r="Q93" i="1" s="1"/>
  <c r="K93" i="1"/>
  <c r="I93" i="1"/>
  <c r="G93" i="1"/>
  <c r="F93" i="1"/>
  <c r="H93" i="1" s="1"/>
  <c r="C93" i="1"/>
  <c r="D93" i="1" s="1"/>
  <c r="B93" i="1"/>
  <c r="AP92" i="1"/>
  <c r="AO92" i="1"/>
  <c r="AM92" i="1"/>
  <c r="AL92" i="1"/>
  <c r="AN92" i="1" s="1"/>
  <c r="AH92" i="1"/>
  <c r="AG92" i="1"/>
  <c r="AF92" i="1"/>
  <c r="AE92" i="1"/>
  <c r="AA92" i="1"/>
  <c r="AC92" i="1" s="1"/>
  <c r="Y92" i="1"/>
  <c r="K92" i="1"/>
  <c r="J92" i="1"/>
  <c r="F92" i="1"/>
  <c r="E92" i="1"/>
  <c r="D92" i="1"/>
  <c r="B92" i="1"/>
  <c r="B96" i="1" s="1"/>
  <c r="AW91" i="1"/>
  <c r="AU91" i="1"/>
  <c r="AS91" i="1"/>
  <c r="AP91" i="1"/>
  <c r="AR91" i="1" s="1"/>
  <c r="AO91" i="1"/>
  <c r="AN91" i="1"/>
  <c r="AK91" i="1"/>
  <c r="AJ91" i="1"/>
  <c r="AG91" i="1"/>
  <c r="AF91" i="1"/>
  <c r="AC91" i="1"/>
  <c r="AB91" i="1"/>
  <c r="Y91" i="1"/>
  <c r="V91" i="1"/>
  <c r="X91" i="1" s="1"/>
  <c r="U91" i="1"/>
  <c r="T91" i="1"/>
  <c r="Q91" i="1"/>
  <c r="P91" i="1"/>
  <c r="M91" i="1"/>
  <c r="L91" i="1"/>
  <c r="I91" i="1"/>
  <c r="H91" i="1"/>
  <c r="E91" i="1"/>
  <c r="D91" i="1"/>
  <c r="AU90" i="1"/>
  <c r="AW90" i="1" s="1"/>
  <c r="AT90" i="1"/>
  <c r="AS90" i="1"/>
  <c r="AR90" i="1"/>
  <c r="AO90" i="1"/>
  <c r="AN90" i="1"/>
  <c r="AK90" i="1"/>
  <c r="AJ90" i="1"/>
  <c r="AG90" i="1"/>
  <c r="AF90" i="1"/>
  <c r="AC90" i="1"/>
  <c r="AB90" i="1"/>
  <c r="Y90" i="1"/>
  <c r="X90" i="1"/>
  <c r="U90" i="1"/>
  <c r="R90" i="1"/>
  <c r="T90" i="1" s="1"/>
  <c r="Q90" i="1"/>
  <c r="P90" i="1"/>
  <c r="M90" i="1"/>
  <c r="L90" i="1"/>
  <c r="I90" i="1"/>
  <c r="H90" i="1"/>
  <c r="E90" i="1"/>
  <c r="D90" i="1"/>
  <c r="AQ89" i="1"/>
  <c r="AP89" i="1"/>
  <c r="AO89" i="1"/>
  <c r="AN89" i="1"/>
  <c r="AM89" i="1"/>
  <c r="AI89" i="1"/>
  <c r="AH89" i="1"/>
  <c r="AJ89" i="1" s="1"/>
  <c r="AG89" i="1"/>
  <c r="AE89" i="1"/>
  <c r="AD89" i="1"/>
  <c r="AD92" i="1" s="1"/>
  <c r="AC89" i="1"/>
  <c r="AA89" i="1"/>
  <c r="Z89" i="1"/>
  <c r="AB89" i="1" s="1"/>
  <c r="X89" i="1"/>
  <c r="W89" i="1"/>
  <c r="W92" i="1" s="1"/>
  <c r="U89" i="1"/>
  <c r="S89" i="1"/>
  <c r="S92" i="1" s="1"/>
  <c r="R89" i="1"/>
  <c r="O89" i="1"/>
  <c r="N89" i="1"/>
  <c r="P89" i="1" s="1"/>
  <c r="M89" i="1"/>
  <c r="L89" i="1"/>
  <c r="K89" i="1"/>
  <c r="G89" i="1"/>
  <c r="F89" i="1"/>
  <c r="E89" i="1"/>
  <c r="D89" i="1"/>
  <c r="C89" i="1"/>
  <c r="C92" i="1" s="1"/>
  <c r="AW88" i="1"/>
  <c r="AU88" i="1"/>
  <c r="AS88" i="1"/>
  <c r="AR88" i="1"/>
  <c r="AP88" i="1"/>
  <c r="AP96" i="1" s="1"/>
  <c r="AO88" i="1"/>
  <c r="AN88" i="1"/>
  <c r="AL88" i="1"/>
  <c r="AK88" i="1"/>
  <c r="AJ88" i="1"/>
  <c r="AH88" i="1"/>
  <c r="AH96" i="1" s="1"/>
  <c r="AG88" i="1"/>
  <c r="AD88" i="1"/>
  <c r="AF88" i="1" s="1"/>
  <c r="AC88" i="1"/>
  <c r="AB88" i="1"/>
  <c r="Y88" i="1"/>
  <c r="V88" i="1"/>
  <c r="X88" i="1" s="1"/>
  <c r="U88" i="1"/>
  <c r="T88" i="1"/>
  <c r="Q88" i="1"/>
  <c r="P88" i="1"/>
  <c r="N88" i="1"/>
  <c r="M88" i="1"/>
  <c r="J88" i="1"/>
  <c r="L88" i="1" s="1"/>
  <c r="I88" i="1"/>
  <c r="F88" i="1"/>
  <c r="E88" i="1"/>
  <c r="D88" i="1"/>
  <c r="AU87" i="1"/>
  <c r="AW87" i="1" s="1"/>
  <c r="AS87" i="1"/>
  <c r="AP87" i="1"/>
  <c r="AO87" i="1"/>
  <c r="AN87" i="1"/>
  <c r="AL87" i="1"/>
  <c r="AK87" i="1"/>
  <c r="AH87" i="1"/>
  <c r="AJ87" i="1" s="1"/>
  <c r="AG87" i="1"/>
  <c r="AF87" i="1"/>
  <c r="AD87" i="1"/>
  <c r="AC87" i="1"/>
  <c r="AB87" i="1"/>
  <c r="Z87" i="1"/>
  <c r="Y87" i="1"/>
  <c r="V87" i="1"/>
  <c r="U87" i="1"/>
  <c r="R87" i="1"/>
  <c r="Q87" i="1"/>
  <c r="P87" i="1"/>
  <c r="M87" i="1"/>
  <c r="L87" i="1"/>
  <c r="J87" i="1"/>
  <c r="I87" i="1"/>
  <c r="H87" i="1"/>
  <c r="E87" i="1"/>
  <c r="D87" i="1"/>
  <c r="AW86" i="1"/>
  <c r="AU86" i="1"/>
  <c r="AT86" i="1"/>
  <c r="AV86" i="1" s="1"/>
  <c r="AS86" i="1"/>
  <c r="AR86" i="1"/>
  <c r="AO86" i="1"/>
  <c r="AN86" i="1"/>
  <c r="AK86" i="1"/>
  <c r="AJ86" i="1"/>
  <c r="AG86" i="1"/>
  <c r="AF86" i="1"/>
  <c r="AC86" i="1"/>
  <c r="AB86" i="1"/>
  <c r="Y86" i="1"/>
  <c r="X86" i="1"/>
  <c r="U86" i="1"/>
  <c r="T86" i="1"/>
  <c r="Q86" i="1"/>
  <c r="P86" i="1"/>
  <c r="M86" i="1"/>
  <c r="L86" i="1"/>
  <c r="I86" i="1"/>
  <c r="H86" i="1"/>
  <c r="E86" i="1"/>
  <c r="D86" i="1"/>
  <c r="AT84" i="1"/>
  <c r="AQ84" i="1"/>
  <c r="AS84" i="1" s="1"/>
  <c r="AP84" i="1"/>
  <c r="AO84" i="1"/>
  <c r="AN84" i="1"/>
  <c r="AM84" i="1"/>
  <c r="AI84" i="1"/>
  <c r="AJ84" i="1" s="1"/>
  <c r="AF84" i="1"/>
  <c r="AE84" i="1"/>
  <c r="AG84" i="1" s="1"/>
  <c r="AB84" i="1"/>
  <c r="AA84" i="1"/>
  <c r="AC84" i="1" s="1"/>
  <c r="W84" i="1"/>
  <c r="X84" i="1" s="1"/>
  <c r="S84" i="1"/>
  <c r="Q84" i="1"/>
  <c r="O84" i="1"/>
  <c r="P84" i="1" s="1"/>
  <c r="M84" i="1"/>
  <c r="K84" i="1"/>
  <c r="J84" i="1"/>
  <c r="L84" i="1" s="1"/>
  <c r="G84" i="1"/>
  <c r="I84" i="1" s="1"/>
  <c r="E84" i="1"/>
  <c r="C84" i="1"/>
  <c r="D84" i="1" s="1"/>
  <c r="AQ83" i="1"/>
  <c r="AS83" i="1" s="1"/>
  <c r="AP83" i="1"/>
  <c r="AM83" i="1"/>
  <c r="AL83" i="1"/>
  <c r="AI83" i="1"/>
  <c r="AK83" i="1" s="1"/>
  <c r="AH83" i="1"/>
  <c r="AJ83" i="1" s="1"/>
  <c r="AG83" i="1"/>
  <c r="AF83" i="1"/>
  <c r="AE83" i="1"/>
  <c r="AD83" i="1"/>
  <c r="AC83" i="1"/>
  <c r="AA83" i="1"/>
  <c r="Z83" i="1"/>
  <c r="AB83" i="1" s="1"/>
  <c r="Y83" i="1"/>
  <c r="X83" i="1"/>
  <c r="W83" i="1"/>
  <c r="V83" i="1"/>
  <c r="U83" i="1"/>
  <c r="S83" i="1"/>
  <c r="T83" i="1" s="1"/>
  <c r="R83" i="1"/>
  <c r="Q83" i="1"/>
  <c r="O83" i="1"/>
  <c r="N83" i="1"/>
  <c r="P83" i="1" s="1"/>
  <c r="M83" i="1"/>
  <c r="L83" i="1"/>
  <c r="K83" i="1"/>
  <c r="J83" i="1"/>
  <c r="I83" i="1"/>
  <c r="H83" i="1"/>
  <c r="G83" i="1"/>
  <c r="F83" i="1"/>
  <c r="C83" i="1"/>
  <c r="AU83" i="1" s="1"/>
  <c r="B83" i="1"/>
  <c r="AT81" i="1"/>
  <c r="AS81" i="1"/>
  <c r="AR81" i="1"/>
  <c r="AQ81" i="1"/>
  <c r="AM81" i="1"/>
  <c r="AN81" i="1" s="1"/>
  <c r="AI81" i="1"/>
  <c r="AJ81" i="1" s="1"/>
  <c r="AE81" i="1"/>
  <c r="AG81" i="1" s="1"/>
  <c r="AC81" i="1"/>
  <c r="AA81" i="1"/>
  <c r="AB81" i="1" s="1"/>
  <c r="W81" i="1"/>
  <c r="Y81" i="1" s="1"/>
  <c r="T81" i="1"/>
  <c r="S81" i="1"/>
  <c r="U81" i="1" s="1"/>
  <c r="O81" i="1"/>
  <c r="P81" i="1" s="1"/>
  <c r="M81" i="1"/>
  <c r="L81" i="1"/>
  <c r="K81" i="1"/>
  <c r="I81" i="1"/>
  <c r="H81" i="1"/>
  <c r="G81" i="1"/>
  <c r="C81" i="1"/>
  <c r="AW80" i="1"/>
  <c r="AU80" i="1"/>
  <c r="AT80" i="1"/>
  <c r="AV80" i="1" s="1"/>
  <c r="AS80" i="1"/>
  <c r="AR80" i="1"/>
  <c r="AO80" i="1"/>
  <c r="AN80" i="1"/>
  <c r="AK80" i="1"/>
  <c r="AH80" i="1"/>
  <c r="AJ80" i="1" s="1"/>
  <c r="AG80" i="1"/>
  <c r="AF80" i="1"/>
  <c r="AD80" i="1"/>
  <c r="AC80" i="1"/>
  <c r="AB80" i="1"/>
  <c r="Y80" i="1"/>
  <c r="X80" i="1"/>
  <c r="U80" i="1"/>
  <c r="T80" i="1"/>
  <c r="Q80" i="1"/>
  <c r="N80" i="1"/>
  <c r="P80" i="1" s="1"/>
  <c r="M80" i="1"/>
  <c r="L80" i="1"/>
  <c r="I80" i="1"/>
  <c r="H80" i="1"/>
  <c r="E80" i="1"/>
  <c r="D80" i="1"/>
  <c r="AS79" i="1"/>
  <c r="AQ79" i="1"/>
  <c r="AP79" i="1"/>
  <c r="AR79" i="1" s="1"/>
  <c r="AM79" i="1"/>
  <c r="AN79" i="1" s="1"/>
  <c r="AL79" i="1"/>
  <c r="AK79" i="1"/>
  <c r="AJ79" i="1"/>
  <c r="AI79" i="1"/>
  <c r="AH79" i="1"/>
  <c r="AE79" i="1"/>
  <c r="AG79" i="1" s="1"/>
  <c r="AD79" i="1"/>
  <c r="AF79" i="1" s="1"/>
  <c r="AA79" i="1"/>
  <c r="Z79" i="1"/>
  <c r="W79" i="1"/>
  <c r="Y79" i="1" s="1"/>
  <c r="V79" i="1"/>
  <c r="X79" i="1" s="1"/>
  <c r="S79" i="1"/>
  <c r="U79" i="1" s="1"/>
  <c r="R79" i="1"/>
  <c r="Q79" i="1"/>
  <c r="O79" i="1"/>
  <c r="N79" i="1"/>
  <c r="K79" i="1"/>
  <c r="M79" i="1" s="1"/>
  <c r="J79" i="1"/>
  <c r="L79" i="1" s="1"/>
  <c r="H79" i="1"/>
  <c r="G79" i="1"/>
  <c r="I79" i="1" s="1"/>
  <c r="F79" i="1"/>
  <c r="E79" i="1"/>
  <c r="D79" i="1"/>
  <c r="C79" i="1"/>
  <c r="B79" i="1"/>
  <c r="AT79" i="1" s="1"/>
  <c r="AE78" i="1"/>
  <c r="AG78" i="1" s="1"/>
  <c r="AD78" i="1"/>
  <c r="Z78" i="1"/>
  <c r="W78" i="1"/>
  <c r="W82" i="1" s="1"/>
  <c r="Y82" i="1" s="1"/>
  <c r="V78" i="1"/>
  <c r="X78" i="1" s="1"/>
  <c r="R78" i="1"/>
  <c r="O78" i="1"/>
  <c r="AU77" i="1"/>
  <c r="AW77" i="1" s="1"/>
  <c r="AS77" i="1"/>
  <c r="AR77" i="1"/>
  <c r="AP77" i="1"/>
  <c r="AP78" i="1" s="1"/>
  <c r="AO77" i="1"/>
  <c r="AL77" i="1"/>
  <c r="AL78" i="1" s="1"/>
  <c r="AK77" i="1"/>
  <c r="AH77" i="1"/>
  <c r="AG77" i="1"/>
  <c r="AD77" i="1"/>
  <c r="AF77" i="1" s="1"/>
  <c r="AC77" i="1"/>
  <c r="Z77" i="1"/>
  <c r="AB77" i="1" s="1"/>
  <c r="Y77" i="1"/>
  <c r="V77" i="1"/>
  <c r="X77" i="1" s="1"/>
  <c r="U77" i="1"/>
  <c r="T77" i="1"/>
  <c r="R77" i="1"/>
  <c r="Q77" i="1"/>
  <c r="P77" i="1"/>
  <c r="N77" i="1"/>
  <c r="M77" i="1"/>
  <c r="J77" i="1"/>
  <c r="J78" i="1" s="1"/>
  <c r="I77" i="1"/>
  <c r="F77" i="1"/>
  <c r="F78" i="1" s="1"/>
  <c r="E77" i="1"/>
  <c r="D77" i="1"/>
  <c r="B77" i="1"/>
  <c r="AQ76" i="1"/>
  <c r="AR76" i="1" s="1"/>
  <c r="AM76" i="1"/>
  <c r="AK76" i="1"/>
  <c r="AI76" i="1"/>
  <c r="AE76" i="1"/>
  <c r="AG76" i="1" s="1"/>
  <c r="AC76" i="1"/>
  <c r="AA76" i="1"/>
  <c r="Y76" i="1"/>
  <c r="W76" i="1"/>
  <c r="X76" i="1" s="1"/>
  <c r="S76" i="1"/>
  <c r="Q76" i="1"/>
  <c r="O76" i="1"/>
  <c r="N76" i="1"/>
  <c r="P76" i="1" s="1"/>
  <c r="L76" i="1"/>
  <c r="K76" i="1"/>
  <c r="M76" i="1" s="1"/>
  <c r="J76" i="1"/>
  <c r="G76" i="1"/>
  <c r="I76" i="1" s="1"/>
  <c r="F76" i="1"/>
  <c r="E76" i="1"/>
  <c r="C76" i="1"/>
  <c r="B76" i="1"/>
  <c r="AW75" i="1"/>
  <c r="AV75" i="1"/>
  <c r="AU75" i="1"/>
  <c r="AT75" i="1"/>
  <c r="AS75" i="1"/>
  <c r="AR75" i="1"/>
  <c r="AO75" i="1"/>
  <c r="AN75" i="1"/>
  <c r="AK75" i="1"/>
  <c r="AJ75" i="1"/>
  <c r="AG75" i="1"/>
  <c r="AF75" i="1"/>
  <c r="AC75" i="1"/>
  <c r="AB75" i="1"/>
  <c r="Y75" i="1"/>
  <c r="X75" i="1"/>
  <c r="V75" i="1"/>
  <c r="U75" i="1"/>
  <c r="T75" i="1"/>
  <c r="Q75" i="1"/>
  <c r="P75" i="1"/>
  <c r="M75" i="1"/>
  <c r="L75" i="1"/>
  <c r="I75" i="1"/>
  <c r="H75" i="1"/>
  <c r="E75" i="1"/>
  <c r="D75" i="1"/>
  <c r="AU74" i="1"/>
  <c r="AW74" i="1" s="1"/>
  <c r="AT74" i="1"/>
  <c r="AV74" i="1" s="1"/>
  <c r="AS74" i="1"/>
  <c r="AR74" i="1"/>
  <c r="AQ74" i="1"/>
  <c r="AP74" i="1"/>
  <c r="AO74" i="1"/>
  <c r="AN74" i="1"/>
  <c r="AM74" i="1"/>
  <c r="AK74" i="1"/>
  <c r="AI74" i="1"/>
  <c r="AH74" i="1"/>
  <c r="AJ74" i="1" s="1"/>
  <c r="AF74" i="1"/>
  <c r="AE74" i="1"/>
  <c r="AG74" i="1" s="1"/>
  <c r="AD74" i="1"/>
  <c r="AA74" i="1"/>
  <c r="AC74" i="1" s="1"/>
  <c r="Z74" i="1"/>
  <c r="AB74" i="1" s="1"/>
  <c r="W74" i="1"/>
  <c r="Y74" i="1" s="1"/>
  <c r="U74" i="1"/>
  <c r="T74" i="1"/>
  <c r="S74" i="1"/>
  <c r="Q74" i="1"/>
  <c r="O74" i="1"/>
  <c r="P74" i="1" s="1"/>
  <c r="K74" i="1"/>
  <c r="M74" i="1" s="1"/>
  <c r="G74" i="1"/>
  <c r="I74" i="1" s="1"/>
  <c r="F74" i="1"/>
  <c r="H74" i="1" s="1"/>
  <c r="D74" i="1"/>
  <c r="C74" i="1"/>
  <c r="E74" i="1" s="1"/>
  <c r="AP73" i="1"/>
  <c r="AM73" i="1"/>
  <c r="AO73" i="1" s="1"/>
  <c r="AL73" i="1"/>
  <c r="AN73" i="1" s="1"/>
  <c r="AI73" i="1"/>
  <c r="AK73" i="1" s="1"/>
  <c r="AG73" i="1"/>
  <c r="AE73" i="1"/>
  <c r="V73" i="1"/>
  <c r="O73" i="1"/>
  <c r="Q73" i="1" s="1"/>
  <c r="F73" i="1"/>
  <c r="H73" i="1" s="1"/>
  <c r="B73" i="1"/>
  <c r="AS72" i="1"/>
  <c r="AR72" i="1"/>
  <c r="AQ72" i="1"/>
  <c r="AO72" i="1"/>
  <c r="AN72" i="1"/>
  <c r="AM72" i="1"/>
  <c r="AI72" i="1"/>
  <c r="AK72" i="1" s="1"/>
  <c r="AG72" i="1"/>
  <c r="AF72" i="1"/>
  <c r="AE72" i="1"/>
  <c r="AC72" i="1"/>
  <c r="AA72" i="1"/>
  <c r="Z72" i="1"/>
  <c r="Y72" i="1"/>
  <c r="W72" i="1"/>
  <c r="X72" i="1" s="1"/>
  <c r="S72" i="1"/>
  <c r="R72" i="1"/>
  <c r="R73" i="1" s="1"/>
  <c r="Q72" i="1"/>
  <c r="P72" i="1"/>
  <c r="O72" i="1"/>
  <c r="L72" i="1"/>
  <c r="K72" i="1"/>
  <c r="M72" i="1" s="1"/>
  <c r="I72" i="1"/>
  <c r="H72" i="1"/>
  <c r="G72" i="1"/>
  <c r="AU72" i="1" s="1"/>
  <c r="E72" i="1"/>
  <c r="C72" i="1"/>
  <c r="D72" i="1" s="1"/>
  <c r="AQ71" i="1"/>
  <c r="AS71" i="1" s="1"/>
  <c r="AN71" i="1"/>
  <c r="AM71" i="1"/>
  <c r="AO71" i="1" s="1"/>
  <c r="AJ71" i="1"/>
  <c r="AI71" i="1"/>
  <c r="AK71" i="1" s="1"/>
  <c r="AH71" i="1"/>
  <c r="AH73" i="1" s="1"/>
  <c r="AE71" i="1"/>
  <c r="AG71" i="1" s="1"/>
  <c r="AC71" i="1"/>
  <c r="AB71" i="1"/>
  <c r="AA71" i="1"/>
  <c r="X71" i="1"/>
  <c r="W71" i="1"/>
  <c r="S71" i="1"/>
  <c r="U71" i="1" s="1"/>
  <c r="Q71" i="1"/>
  <c r="P71" i="1"/>
  <c r="O71" i="1"/>
  <c r="K71" i="1"/>
  <c r="M71" i="1" s="1"/>
  <c r="I71" i="1"/>
  <c r="G71" i="1"/>
  <c r="H71" i="1" s="1"/>
  <c r="E71" i="1"/>
  <c r="D71" i="1"/>
  <c r="C71" i="1"/>
  <c r="AS70" i="1"/>
  <c r="AR70" i="1"/>
  <c r="AQ70" i="1"/>
  <c r="AO70" i="1"/>
  <c r="AN70" i="1"/>
  <c r="AM70" i="1"/>
  <c r="AK70" i="1"/>
  <c r="AJ70" i="1"/>
  <c r="AI70" i="1"/>
  <c r="AG70" i="1"/>
  <c r="AE70" i="1"/>
  <c r="AD70" i="1"/>
  <c r="AD73" i="1" s="1"/>
  <c r="AF73" i="1" s="1"/>
  <c r="AA70" i="1"/>
  <c r="AA73" i="1" s="1"/>
  <c r="AC73" i="1" s="1"/>
  <c r="Y70" i="1"/>
  <c r="X70" i="1"/>
  <c r="W70" i="1"/>
  <c r="S70" i="1"/>
  <c r="U70" i="1" s="1"/>
  <c r="P70" i="1"/>
  <c r="O70" i="1"/>
  <c r="Q70" i="1" s="1"/>
  <c r="N70" i="1"/>
  <c r="N73" i="1" s="1"/>
  <c r="M70" i="1"/>
  <c r="K70" i="1"/>
  <c r="J70" i="1"/>
  <c r="L70" i="1" s="1"/>
  <c r="I70" i="1"/>
  <c r="G70" i="1"/>
  <c r="G73" i="1" s="1"/>
  <c r="I73" i="1" s="1"/>
  <c r="F70" i="1"/>
  <c r="C70" i="1"/>
  <c r="B70" i="1"/>
  <c r="AT70" i="1" s="1"/>
  <c r="AU69" i="1"/>
  <c r="AW69" i="1" s="1"/>
  <c r="AT69" i="1"/>
  <c r="AV69" i="1" s="1"/>
  <c r="AS69" i="1"/>
  <c r="AR69" i="1"/>
  <c r="AO69" i="1"/>
  <c r="AN69" i="1"/>
  <c r="AK69" i="1"/>
  <c r="AJ69" i="1"/>
  <c r="AG69" i="1"/>
  <c r="AF69" i="1"/>
  <c r="AC69" i="1"/>
  <c r="AB69" i="1"/>
  <c r="Y69" i="1"/>
  <c r="X69" i="1"/>
  <c r="U69" i="1"/>
  <c r="T69" i="1"/>
  <c r="Q69" i="1"/>
  <c r="P69" i="1"/>
  <c r="M69" i="1"/>
  <c r="L69" i="1"/>
  <c r="I69" i="1"/>
  <c r="H69" i="1"/>
  <c r="E69" i="1"/>
  <c r="D69" i="1"/>
  <c r="AP68" i="1"/>
  <c r="AN68" i="1"/>
  <c r="AM68" i="1"/>
  <c r="AO68" i="1" s="1"/>
  <c r="AL68" i="1"/>
  <c r="AK68" i="1"/>
  <c r="AJ68" i="1"/>
  <c r="AI68" i="1"/>
  <c r="AH68" i="1"/>
  <c r="AE68" i="1"/>
  <c r="AG68" i="1" s="1"/>
  <c r="AD68" i="1"/>
  <c r="Z68" i="1"/>
  <c r="W68" i="1"/>
  <c r="Y68" i="1" s="1"/>
  <c r="V68" i="1"/>
  <c r="R68" i="1"/>
  <c r="O68" i="1"/>
  <c r="Q68" i="1" s="1"/>
  <c r="N68" i="1"/>
  <c r="P68" i="1" s="1"/>
  <c r="K68" i="1"/>
  <c r="M68" i="1" s="1"/>
  <c r="J68" i="1"/>
  <c r="L68" i="1" s="1"/>
  <c r="G68" i="1"/>
  <c r="I68" i="1" s="1"/>
  <c r="B68" i="1"/>
  <c r="AT67" i="1"/>
  <c r="AQ67" i="1"/>
  <c r="AO67" i="1"/>
  <c r="AN67" i="1"/>
  <c r="AM67" i="1"/>
  <c r="AL67" i="1"/>
  <c r="AK67" i="1"/>
  <c r="AJ67" i="1"/>
  <c r="AI67" i="1"/>
  <c r="AG67" i="1"/>
  <c r="AF67" i="1"/>
  <c r="AE67" i="1"/>
  <c r="AC67" i="1"/>
  <c r="AA67" i="1"/>
  <c r="Y67" i="1"/>
  <c r="X67" i="1"/>
  <c r="W67" i="1"/>
  <c r="T67" i="1"/>
  <c r="S67" i="1"/>
  <c r="S68" i="1" s="1"/>
  <c r="U68" i="1" s="1"/>
  <c r="Q67" i="1"/>
  <c r="P67" i="1"/>
  <c r="O67" i="1"/>
  <c r="K67" i="1"/>
  <c r="G67" i="1"/>
  <c r="I67" i="1" s="1"/>
  <c r="F67" i="1"/>
  <c r="C67" i="1"/>
  <c r="B67" i="1"/>
  <c r="AU66" i="1"/>
  <c r="AW66" i="1" s="1"/>
  <c r="AT66" i="1"/>
  <c r="AS66" i="1"/>
  <c r="AR66" i="1"/>
  <c r="AO66" i="1"/>
  <c r="AN66" i="1"/>
  <c r="AK66" i="1"/>
  <c r="AJ66" i="1"/>
  <c r="AG66" i="1"/>
  <c r="AF66" i="1"/>
  <c r="AC66" i="1"/>
  <c r="AB66" i="1"/>
  <c r="Y66" i="1"/>
  <c r="X66" i="1"/>
  <c r="U66" i="1"/>
  <c r="T66" i="1"/>
  <c r="Q66" i="1"/>
  <c r="P66" i="1"/>
  <c r="M66" i="1"/>
  <c r="L66" i="1"/>
  <c r="I66" i="1"/>
  <c r="H66" i="1"/>
  <c r="E66" i="1"/>
  <c r="D66" i="1"/>
  <c r="AT65" i="1"/>
  <c r="AQ65" i="1"/>
  <c r="AM65" i="1"/>
  <c r="AJ65" i="1"/>
  <c r="AI65" i="1"/>
  <c r="AK65" i="1" s="1"/>
  <c r="AE65" i="1"/>
  <c r="AF65" i="1" s="1"/>
  <c r="AC65" i="1"/>
  <c r="AB65" i="1"/>
  <c r="AA65" i="1"/>
  <c r="W65" i="1"/>
  <c r="Y65" i="1" s="1"/>
  <c r="U65" i="1"/>
  <c r="T65" i="1"/>
  <c r="S65" i="1"/>
  <c r="O65" i="1"/>
  <c r="M65" i="1"/>
  <c r="L65" i="1"/>
  <c r="K65" i="1"/>
  <c r="G65" i="1"/>
  <c r="H65" i="1" s="1"/>
  <c r="D65" i="1"/>
  <c r="C65" i="1"/>
  <c r="E65" i="1" s="1"/>
  <c r="B65" i="1"/>
  <c r="AQ64" i="1"/>
  <c r="AS64" i="1" s="1"/>
  <c r="AM64" i="1"/>
  <c r="AO64" i="1" s="1"/>
  <c r="AJ64" i="1"/>
  <c r="AI64" i="1"/>
  <c r="AK64" i="1" s="1"/>
  <c r="AA64" i="1"/>
  <c r="AC64" i="1" s="1"/>
  <c r="Z64" i="1"/>
  <c r="AB64" i="1" s="1"/>
  <c r="Y64" i="1"/>
  <c r="X64" i="1"/>
  <c r="W64" i="1"/>
  <c r="S64" i="1"/>
  <c r="U64" i="1" s="1"/>
  <c r="R64" i="1"/>
  <c r="T64" i="1" s="1"/>
  <c r="F64" i="1"/>
  <c r="AW63" i="1"/>
  <c r="AU63" i="1"/>
  <c r="AS63" i="1"/>
  <c r="AP63" i="1"/>
  <c r="AO63" i="1"/>
  <c r="AL63" i="1"/>
  <c r="AK63" i="1"/>
  <c r="AH63" i="1"/>
  <c r="AH64" i="1" s="1"/>
  <c r="AG63" i="1"/>
  <c r="AD63" i="1"/>
  <c r="AF63" i="1" s="1"/>
  <c r="AC63" i="1"/>
  <c r="AB63" i="1"/>
  <c r="Y63" i="1"/>
  <c r="X63" i="1"/>
  <c r="V63" i="1"/>
  <c r="V64" i="1" s="1"/>
  <c r="U63" i="1"/>
  <c r="R63" i="1"/>
  <c r="T63" i="1" s="1"/>
  <c r="Q63" i="1"/>
  <c r="N63" i="1"/>
  <c r="P63" i="1" s="1"/>
  <c r="M63" i="1"/>
  <c r="J63" i="1"/>
  <c r="L63" i="1" s="1"/>
  <c r="I63" i="1"/>
  <c r="H63" i="1"/>
  <c r="F63" i="1"/>
  <c r="E63" i="1"/>
  <c r="B63" i="1"/>
  <c r="D63" i="1" s="1"/>
  <c r="AT62" i="1"/>
  <c r="AS62" i="1"/>
  <c r="AQ62" i="1"/>
  <c r="AR62" i="1" s="1"/>
  <c r="AO62" i="1"/>
  <c r="AN62" i="1"/>
  <c r="AM62" i="1"/>
  <c r="AK62" i="1"/>
  <c r="AJ62" i="1"/>
  <c r="AI62" i="1"/>
  <c r="AE62" i="1"/>
  <c r="AF62" i="1" s="1"/>
  <c r="AC62" i="1"/>
  <c r="AB62" i="1"/>
  <c r="AA62" i="1"/>
  <c r="Y62" i="1"/>
  <c r="W62" i="1"/>
  <c r="X62" i="1" s="1"/>
  <c r="U62" i="1"/>
  <c r="T62" i="1"/>
  <c r="S62" i="1"/>
  <c r="O62" i="1"/>
  <c r="M62" i="1"/>
  <c r="K62" i="1"/>
  <c r="G62" i="1"/>
  <c r="I62" i="1" s="1"/>
  <c r="D62" i="1"/>
  <c r="C62" i="1"/>
  <c r="E62" i="1" s="1"/>
  <c r="AQ61" i="1"/>
  <c r="AP61" i="1"/>
  <c r="AD61" i="1"/>
  <c r="Z61" i="1"/>
  <c r="O61" i="1"/>
  <c r="Q61" i="1" s="1"/>
  <c r="K61" i="1"/>
  <c r="M61" i="1" s="1"/>
  <c r="AR60" i="1"/>
  <c r="AQ60" i="1"/>
  <c r="AS60" i="1" s="1"/>
  <c r="AP60" i="1"/>
  <c r="AM60" i="1"/>
  <c r="AO60" i="1" s="1"/>
  <c r="AL60" i="1"/>
  <c r="AN60" i="1" s="1"/>
  <c r="AI60" i="1"/>
  <c r="AI61" i="1" s="1"/>
  <c r="AH60" i="1"/>
  <c r="AJ60" i="1" s="1"/>
  <c r="AG60" i="1"/>
  <c r="AF60" i="1"/>
  <c r="AE60" i="1"/>
  <c r="AD60" i="1"/>
  <c r="AA60" i="1"/>
  <c r="AC60" i="1" s="1"/>
  <c r="Z60" i="1"/>
  <c r="AB60" i="1" s="1"/>
  <c r="W60" i="1"/>
  <c r="Y60" i="1" s="1"/>
  <c r="V60" i="1"/>
  <c r="S60" i="1"/>
  <c r="U60" i="1" s="1"/>
  <c r="R60" i="1"/>
  <c r="T60" i="1" s="1"/>
  <c r="Q60" i="1"/>
  <c r="O60" i="1"/>
  <c r="N60" i="1"/>
  <c r="K60" i="1"/>
  <c r="M60" i="1" s="1"/>
  <c r="J60" i="1"/>
  <c r="J61" i="1" s="1"/>
  <c r="G60" i="1"/>
  <c r="F60" i="1"/>
  <c r="D60" i="1"/>
  <c r="C60" i="1"/>
  <c r="E60" i="1" s="1"/>
  <c r="B60" i="1"/>
  <c r="AS59" i="1"/>
  <c r="AQ59" i="1"/>
  <c r="AP59" i="1"/>
  <c r="AN59" i="1"/>
  <c r="AM59" i="1"/>
  <c r="AM61" i="1" s="1"/>
  <c r="AO61" i="1" s="1"/>
  <c r="AL59" i="1"/>
  <c r="AL61" i="1" s="1"/>
  <c r="AI59" i="1"/>
  <c r="AK59" i="1" s="1"/>
  <c r="AH59" i="1"/>
  <c r="AE59" i="1"/>
  <c r="AG59" i="1" s="1"/>
  <c r="AD59" i="1"/>
  <c r="AA59" i="1"/>
  <c r="Z59" i="1"/>
  <c r="W59" i="1"/>
  <c r="Y59" i="1" s="1"/>
  <c r="V59" i="1"/>
  <c r="X59" i="1" s="1"/>
  <c r="S59" i="1"/>
  <c r="U59" i="1" s="1"/>
  <c r="R59" i="1"/>
  <c r="T59" i="1" s="1"/>
  <c r="O59" i="1"/>
  <c r="Q59" i="1" s="1"/>
  <c r="N59" i="1"/>
  <c r="L59" i="1"/>
  <c r="K59" i="1"/>
  <c r="M59" i="1" s="1"/>
  <c r="J59" i="1"/>
  <c r="G59" i="1"/>
  <c r="I59" i="1" s="1"/>
  <c r="F59" i="1"/>
  <c r="H59" i="1" s="1"/>
  <c r="C59" i="1"/>
  <c r="B59" i="1"/>
  <c r="D59" i="1" s="1"/>
  <c r="AW58" i="1"/>
  <c r="AU58" i="1"/>
  <c r="AS58" i="1"/>
  <c r="AR58" i="1"/>
  <c r="AO58" i="1"/>
  <c r="AN58" i="1"/>
  <c r="AK58" i="1"/>
  <c r="AJ58" i="1"/>
  <c r="AG58" i="1"/>
  <c r="AF58" i="1"/>
  <c r="AC58" i="1"/>
  <c r="AB58" i="1"/>
  <c r="Y58" i="1"/>
  <c r="X58" i="1"/>
  <c r="U58" i="1"/>
  <c r="T58" i="1"/>
  <c r="Q58" i="1"/>
  <c r="P58" i="1"/>
  <c r="M58" i="1"/>
  <c r="L58" i="1"/>
  <c r="I58" i="1"/>
  <c r="H58" i="1"/>
  <c r="E58" i="1"/>
  <c r="B58" i="1"/>
  <c r="D58" i="1" s="1"/>
  <c r="AS57" i="1"/>
  <c r="AR57" i="1"/>
  <c r="AQ57" i="1"/>
  <c r="AO57" i="1"/>
  <c r="AN57" i="1"/>
  <c r="AM57" i="1"/>
  <c r="AI57" i="1"/>
  <c r="AK57" i="1" s="1"/>
  <c r="AE57" i="1"/>
  <c r="AG57" i="1" s="1"/>
  <c r="AD57" i="1"/>
  <c r="AA57" i="1"/>
  <c r="W57" i="1"/>
  <c r="Y57" i="1" s="1"/>
  <c r="V57" i="1"/>
  <c r="U57" i="1"/>
  <c r="T57" i="1"/>
  <c r="S57" i="1"/>
  <c r="O57" i="1"/>
  <c r="L57" i="1"/>
  <c r="K57" i="1"/>
  <c r="I57" i="1"/>
  <c r="G57" i="1"/>
  <c r="H57" i="1" s="1"/>
  <c r="E57" i="1"/>
  <c r="C57" i="1"/>
  <c r="AW56" i="1"/>
  <c r="AV56" i="1"/>
  <c r="AU56" i="1"/>
  <c r="AT56" i="1"/>
  <c r="AS56" i="1"/>
  <c r="AR56" i="1"/>
  <c r="AO56" i="1"/>
  <c r="AN56" i="1"/>
  <c r="AK56" i="1"/>
  <c r="AJ56" i="1"/>
  <c r="AG56" i="1"/>
  <c r="AF56" i="1"/>
  <c r="AC56" i="1"/>
  <c r="AB56" i="1"/>
  <c r="Y56" i="1"/>
  <c r="X56" i="1"/>
  <c r="U56" i="1"/>
  <c r="T56" i="1"/>
  <c r="Q56" i="1"/>
  <c r="P56" i="1"/>
  <c r="M56" i="1"/>
  <c r="L56" i="1"/>
  <c r="I56" i="1"/>
  <c r="H56" i="1"/>
  <c r="E56" i="1"/>
  <c r="D56" i="1"/>
  <c r="AL52" i="1"/>
  <c r="AI52" i="1"/>
  <c r="AK52" i="1" s="1"/>
  <c r="AD52" i="1"/>
  <c r="Z52" i="1"/>
  <c r="V52" i="1"/>
  <c r="R52" i="1"/>
  <c r="J52" i="1"/>
  <c r="AT51" i="1"/>
  <c r="AQ51" i="1"/>
  <c r="AR51" i="1" s="1"/>
  <c r="AO51" i="1"/>
  <c r="AM51" i="1"/>
  <c r="AN51" i="1" s="1"/>
  <c r="AK51" i="1"/>
  <c r="AJ51" i="1"/>
  <c r="AI51" i="1"/>
  <c r="AE51" i="1"/>
  <c r="AG51" i="1" s="1"/>
  <c r="AA51" i="1"/>
  <c r="AB51" i="1" s="1"/>
  <c r="Y51" i="1"/>
  <c r="X51" i="1"/>
  <c r="W51" i="1"/>
  <c r="U51" i="1"/>
  <c r="T51" i="1"/>
  <c r="S51" i="1"/>
  <c r="O51" i="1"/>
  <c r="Q51" i="1" s="1"/>
  <c r="N51" i="1"/>
  <c r="K51" i="1"/>
  <c r="M51" i="1" s="1"/>
  <c r="H51" i="1"/>
  <c r="G51" i="1"/>
  <c r="I51" i="1" s="1"/>
  <c r="E51" i="1"/>
  <c r="D51" i="1"/>
  <c r="C51" i="1"/>
  <c r="AP50" i="1"/>
  <c r="AP52" i="1" s="1"/>
  <c r="AO50" i="1"/>
  <c r="AH50" i="1"/>
  <c r="AH52" i="1" s="1"/>
  <c r="AJ52" i="1" s="1"/>
  <c r="AE50" i="1"/>
  <c r="AD50" i="1"/>
  <c r="Z50" i="1"/>
  <c r="W50" i="1"/>
  <c r="Y50" i="1" s="1"/>
  <c r="V50" i="1"/>
  <c r="X50" i="1" s="1"/>
  <c r="R50" i="1"/>
  <c r="J50" i="1"/>
  <c r="AS49" i="1"/>
  <c r="AR49" i="1"/>
  <c r="AQ49" i="1"/>
  <c r="AO49" i="1"/>
  <c r="AN49" i="1"/>
  <c r="AM49" i="1"/>
  <c r="AI49" i="1"/>
  <c r="AJ49" i="1" s="1"/>
  <c r="AG49" i="1"/>
  <c r="AF49" i="1"/>
  <c r="AE49" i="1"/>
  <c r="AC49" i="1"/>
  <c r="AB49" i="1"/>
  <c r="AA49" i="1"/>
  <c r="W49" i="1"/>
  <c r="Y49" i="1" s="1"/>
  <c r="S49" i="1"/>
  <c r="O49" i="1"/>
  <c r="Q49" i="1" s="1"/>
  <c r="N49" i="1"/>
  <c r="N50" i="1" s="1"/>
  <c r="M49" i="1"/>
  <c r="L49" i="1"/>
  <c r="K49" i="1"/>
  <c r="I49" i="1"/>
  <c r="H49" i="1"/>
  <c r="G49" i="1"/>
  <c r="C49" i="1"/>
  <c r="D49" i="1" s="1"/>
  <c r="AT48" i="1"/>
  <c r="AQ48" i="1"/>
  <c r="AM48" i="1"/>
  <c r="AN48" i="1" s="1"/>
  <c r="AK48" i="1"/>
  <c r="AJ48" i="1"/>
  <c r="AI48" i="1"/>
  <c r="AF48" i="1"/>
  <c r="AE48" i="1"/>
  <c r="AG48" i="1" s="1"/>
  <c r="AA48" i="1"/>
  <c r="AB48" i="1" s="1"/>
  <c r="Y48" i="1"/>
  <c r="X48" i="1"/>
  <c r="W48" i="1"/>
  <c r="U48" i="1"/>
  <c r="T48" i="1"/>
  <c r="S48" i="1"/>
  <c r="O48" i="1"/>
  <c r="Q48" i="1" s="1"/>
  <c r="K48" i="1"/>
  <c r="I48" i="1"/>
  <c r="H48" i="1"/>
  <c r="G48" i="1"/>
  <c r="E48" i="1"/>
  <c r="D48" i="1"/>
  <c r="C48" i="1"/>
  <c r="AT47" i="1"/>
  <c r="AR47" i="1"/>
  <c r="AQ47" i="1"/>
  <c r="AS47" i="1" s="1"/>
  <c r="AM47" i="1"/>
  <c r="AI47" i="1"/>
  <c r="AJ47" i="1" s="1"/>
  <c r="AE47" i="1"/>
  <c r="AG47" i="1" s="1"/>
  <c r="AA47" i="1"/>
  <c r="Y47" i="1"/>
  <c r="W47" i="1"/>
  <c r="X47" i="1" s="1"/>
  <c r="S47" i="1"/>
  <c r="U47" i="1" s="1"/>
  <c r="Q47" i="1"/>
  <c r="P47" i="1"/>
  <c r="O47" i="1"/>
  <c r="K47" i="1"/>
  <c r="M47" i="1" s="1"/>
  <c r="H47" i="1"/>
  <c r="G47" i="1"/>
  <c r="I47" i="1" s="1"/>
  <c r="E47" i="1"/>
  <c r="D47" i="1"/>
  <c r="C47" i="1"/>
  <c r="AS46" i="1"/>
  <c r="AR46" i="1"/>
  <c r="AQ46" i="1"/>
  <c r="AP46" i="1"/>
  <c r="AO46" i="1"/>
  <c r="AN46" i="1"/>
  <c r="AM46" i="1"/>
  <c r="AM50" i="1" s="1"/>
  <c r="AM52" i="1" s="1"/>
  <c r="AO52" i="1" s="1"/>
  <c r="AL46" i="1"/>
  <c r="AL50" i="1" s="1"/>
  <c r="AK46" i="1"/>
  <c r="AJ46" i="1"/>
  <c r="AI46" i="1"/>
  <c r="AI50" i="1" s="1"/>
  <c r="AK50" i="1" s="1"/>
  <c r="AF46" i="1"/>
  <c r="AE46" i="1"/>
  <c r="AG46" i="1" s="1"/>
  <c r="AC46" i="1"/>
  <c r="AA46" i="1"/>
  <c r="AB46" i="1" s="1"/>
  <c r="Y46" i="1"/>
  <c r="X46" i="1"/>
  <c r="W46" i="1"/>
  <c r="S46" i="1"/>
  <c r="Q46" i="1"/>
  <c r="O46" i="1"/>
  <c r="K46" i="1"/>
  <c r="I46" i="1"/>
  <c r="G46" i="1"/>
  <c r="F46" i="1"/>
  <c r="C46" i="1"/>
  <c r="B46" i="1"/>
  <c r="AT46" i="1" s="1"/>
  <c r="AW45" i="1"/>
  <c r="AV45" i="1"/>
  <c r="AU45" i="1"/>
  <c r="AT45" i="1"/>
  <c r="AS45" i="1"/>
  <c r="AR45" i="1"/>
  <c r="AO45" i="1"/>
  <c r="AN45" i="1"/>
  <c r="AK45" i="1"/>
  <c r="AJ45" i="1"/>
  <c r="AG45" i="1"/>
  <c r="AF45" i="1"/>
  <c r="AC45" i="1"/>
  <c r="AB45" i="1"/>
  <c r="Y45" i="1"/>
  <c r="X45" i="1"/>
  <c r="U45" i="1"/>
  <c r="T45" i="1"/>
  <c r="Q45" i="1"/>
  <c r="P45" i="1"/>
  <c r="M45" i="1"/>
  <c r="L45" i="1"/>
  <c r="I45" i="1"/>
  <c r="H45" i="1"/>
  <c r="E45" i="1"/>
  <c r="D45" i="1"/>
  <c r="AU44" i="1"/>
  <c r="AW44" i="1" s="1"/>
  <c r="AS44" i="1"/>
  <c r="AR44" i="1"/>
  <c r="AO44" i="1"/>
  <c r="AL44" i="1"/>
  <c r="AN44" i="1" s="1"/>
  <c r="AK44" i="1"/>
  <c r="AH44" i="1"/>
  <c r="AJ44" i="1" s="1"/>
  <c r="AG44" i="1"/>
  <c r="AF44" i="1"/>
  <c r="AC44" i="1"/>
  <c r="AB44" i="1"/>
  <c r="Y44" i="1"/>
  <c r="X44" i="1"/>
  <c r="U44" i="1"/>
  <c r="R44" i="1"/>
  <c r="T44" i="1" s="1"/>
  <c r="Q44" i="1"/>
  <c r="P44" i="1"/>
  <c r="N44" i="1"/>
  <c r="AT44" i="1" s="1"/>
  <c r="M44" i="1"/>
  <c r="L44" i="1"/>
  <c r="I44" i="1"/>
  <c r="H44" i="1"/>
  <c r="E44" i="1"/>
  <c r="D44" i="1"/>
  <c r="AP43" i="1"/>
  <c r="AE43" i="1"/>
  <c r="AG43" i="1" s="1"/>
  <c r="R43" i="1"/>
  <c r="N43" i="1"/>
  <c r="J43" i="1"/>
  <c r="F43" i="1"/>
  <c r="AS42" i="1"/>
  <c r="AQ42" i="1"/>
  <c r="AP42" i="1"/>
  <c r="AR42" i="1" s="1"/>
  <c r="AO42" i="1"/>
  <c r="AN42" i="1"/>
  <c r="AM42" i="1"/>
  <c r="AL42" i="1"/>
  <c r="AK42" i="1"/>
  <c r="AI42" i="1"/>
  <c r="AH42" i="1"/>
  <c r="AT42" i="1" s="1"/>
  <c r="AV42" i="1" s="1"/>
  <c r="AG42" i="1"/>
  <c r="AF42" i="1"/>
  <c r="AE42" i="1"/>
  <c r="AD42" i="1"/>
  <c r="AA42" i="1"/>
  <c r="AC42" i="1" s="1"/>
  <c r="Z42" i="1"/>
  <c r="Y42" i="1"/>
  <c r="W42" i="1"/>
  <c r="V42" i="1"/>
  <c r="X42" i="1" s="1"/>
  <c r="T42" i="1"/>
  <c r="S42" i="1"/>
  <c r="U42" i="1" s="1"/>
  <c r="R42" i="1"/>
  <c r="Q42" i="1"/>
  <c r="P42" i="1"/>
  <c r="O42" i="1"/>
  <c r="K42" i="1"/>
  <c r="M42" i="1" s="1"/>
  <c r="J42" i="1"/>
  <c r="I42" i="1"/>
  <c r="G42" i="1"/>
  <c r="AU42" i="1" s="1"/>
  <c r="AW42" i="1" s="1"/>
  <c r="F42" i="1"/>
  <c r="H42" i="1" s="1"/>
  <c r="E42" i="1"/>
  <c r="D42" i="1"/>
  <c r="C42" i="1"/>
  <c r="B42" i="1"/>
  <c r="AS41" i="1"/>
  <c r="AQ41" i="1"/>
  <c r="AR41" i="1" s="1"/>
  <c r="AP41" i="1"/>
  <c r="AM41" i="1"/>
  <c r="AO41" i="1" s="1"/>
  <c r="AL41" i="1"/>
  <c r="AK41" i="1"/>
  <c r="AI41" i="1"/>
  <c r="AH41" i="1"/>
  <c r="AJ41" i="1" s="1"/>
  <c r="AG41" i="1"/>
  <c r="AF41" i="1"/>
  <c r="AE41" i="1"/>
  <c r="AD41" i="1"/>
  <c r="AA41" i="1"/>
  <c r="AC41" i="1" s="1"/>
  <c r="Z41" i="1"/>
  <c r="AB41" i="1" s="1"/>
  <c r="Y41" i="1"/>
  <c r="W41" i="1"/>
  <c r="X41" i="1" s="1"/>
  <c r="V41" i="1"/>
  <c r="S41" i="1"/>
  <c r="R41" i="1"/>
  <c r="Q41" i="1"/>
  <c r="O41" i="1"/>
  <c r="P41" i="1" s="1"/>
  <c r="M41" i="1"/>
  <c r="L41" i="1"/>
  <c r="K41" i="1"/>
  <c r="J41" i="1"/>
  <c r="G41" i="1"/>
  <c r="I41" i="1" s="1"/>
  <c r="F41" i="1"/>
  <c r="H41" i="1" s="1"/>
  <c r="E41" i="1"/>
  <c r="D41" i="1"/>
  <c r="C41" i="1"/>
  <c r="B41" i="1"/>
  <c r="AT40" i="1"/>
  <c r="AQ40" i="1"/>
  <c r="AO40" i="1"/>
  <c r="AN40" i="1"/>
  <c r="AM40" i="1"/>
  <c r="AK40" i="1"/>
  <c r="AI40" i="1"/>
  <c r="AJ40" i="1" s="1"/>
  <c r="AE40" i="1"/>
  <c r="AG40" i="1" s="1"/>
  <c r="AA40" i="1"/>
  <c r="AC40" i="1" s="1"/>
  <c r="Y40" i="1"/>
  <c r="W40" i="1"/>
  <c r="X40" i="1" s="1"/>
  <c r="U40" i="1"/>
  <c r="S40" i="1"/>
  <c r="R40" i="1"/>
  <c r="T40" i="1" s="1"/>
  <c r="O40" i="1"/>
  <c r="AU40" i="1" s="1"/>
  <c r="AW40" i="1" s="1"/>
  <c r="M40" i="1"/>
  <c r="L40" i="1"/>
  <c r="K40" i="1"/>
  <c r="G40" i="1"/>
  <c r="I40" i="1" s="1"/>
  <c r="C40" i="1"/>
  <c r="E40" i="1" s="1"/>
  <c r="AS39" i="1"/>
  <c r="AR39" i="1"/>
  <c r="AQ39" i="1"/>
  <c r="AP39" i="1"/>
  <c r="AM39" i="1"/>
  <c r="AO39" i="1" s="1"/>
  <c r="AL39" i="1"/>
  <c r="AN39" i="1" s="1"/>
  <c r="AK39" i="1"/>
  <c r="AI39" i="1"/>
  <c r="AH39" i="1"/>
  <c r="AJ39" i="1" s="1"/>
  <c r="AE39" i="1"/>
  <c r="AG39" i="1" s="1"/>
  <c r="AD39" i="1"/>
  <c r="AD43" i="1" s="1"/>
  <c r="AF43" i="1" s="1"/>
  <c r="AC39" i="1"/>
  <c r="AB39" i="1"/>
  <c r="AA39" i="1"/>
  <c r="Z39" i="1"/>
  <c r="Z43" i="1" s="1"/>
  <c r="Y39" i="1"/>
  <c r="X39" i="1"/>
  <c r="W39" i="1"/>
  <c r="V39" i="1"/>
  <c r="S39" i="1"/>
  <c r="U39" i="1" s="1"/>
  <c r="R39" i="1"/>
  <c r="AT39" i="1" s="1"/>
  <c r="Q39" i="1"/>
  <c r="O39" i="1"/>
  <c r="P39" i="1" s="1"/>
  <c r="M39" i="1"/>
  <c r="L39" i="1"/>
  <c r="K39" i="1"/>
  <c r="J39" i="1"/>
  <c r="I39" i="1"/>
  <c r="H39" i="1"/>
  <c r="G39" i="1"/>
  <c r="F39" i="1"/>
  <c r="C39" i="1"/>
  <c r="E39" i="1" s="1"/>
  <c r="B39" i="1"/>
  <c r="AS38" i="1"/>
  <c r="AR38" i="1"/>
  <c r="AQ38" i="1"/>
  <c r="AM38" i="1"/>
  <c r="AK38" i="1"/>
  <c r="AI38" i="1"/>
  <c r="AJ38" i="1" s="1"/>
  <c r="AG38" i="1"/>
  <c r="AF38" i="1"/>
  <c r="AE38" i="1"/>
  <c r="AC38" i="1"/>
  <c r="AB38" i="1"/>
  <c r="AA38" i="1"/>
  <c r="W38" i="1"/>
  <c r="Y38" i="1" s="1"/>
  <c r="U38" i="1"/>
  <c r="T38" i="1"/>
  <c r="S38" i="1"/>
  <c r="R38" i="1"/>
  <c r="AT38" i="1" s="1"/>
  <c r="O38" i="1"/>
  <c r="K38" i="1"/>
  <c r="I38" i="1"/>
  <c r="H38" i="1"/>
  <c r="G38" i="1"/>
  <c r="C38" i="1"/>
  <c r="E38" i="1" s="1"/>
  <c r="AT37" i="1"/>
  <c r="AQ37" i="1"/>
  <c r="AS37" i="1" s="1"/>
  <c r="AO37" i="1"/>
  <c r="AM37" i="1"/>
  <c r="AN37" i="1" s="1"/>
  <c r="AK37" i="1"/>
  <c r="AI37" i="1"/>
  <c r="AJ37" i="1" s="1"/>
  <c r="AE37" i="1"/>
  <c r="AF37" i="1" s="1"/>
  <c r="AA37" i="1"/>
  <c r="AB37" i="1" s="1"/>
  <c r="Y37" i="1"/>
  <c r="W37" i="1"/>
  <c r="V37" i="1"/>
  <c r="X37" i="1" s="1"/>
  <c r="S37" i="1"/>
  <c r="U37" i="1" s="1"/>
  <c r="Q37" i="1"/>
  <c r="P37" i="1"/>
  <c r="O37" i="1"/>
  <c r="L37" i="1"/>
  <c r="K37" i="1"/>
  <c r="M37" i="1" s="1"/>
  <c r="I37" i="1"/>
  <c r="G37" i="1"/>
  <c r="AU37" i="1" s="1"/>
  <c r="AW37" i="1" s="1"/>
  <c r="E37" i="1"/>
  <c r="D37" i="1"/>
  <c r="C37" i="1"/>
  <c r="AQ36" i="1"/>
  <c r="AP36" i="1"/>
  <c r="AR36" i="1" s="1"/>
  <c r="AO36" i="1"/>
  <c r="AN36" i="1"/>
  <c r="AM36" i="1"/>
  <c r="AL36" i="1"/>
  <c r="AJ36" i="1"/>
  <c r="AI36" i="1"/>
  <c r="AI43" i="1" s="1"/>
  <c r="AK43" i="1" s="1"/>
  <c r="AH36" i="1"/>
  <c r="AE36" i="1"/>
  <c r="AG36" i="1" s="1"/>
  <c r="AD36" i="1"/>
  <c r="AA36" i="1"/>
  <c r="Z36" i="1"/>
  <c r="W36" i="1"/>
  <c r="V36" i="1"/>
  <c r="X36" i="1" s="1"/>
  <c r="U36" i="1"/>
  <c r="T36" i="1"/>
  <c r="S36" i="1"/>
  <c r="R36" i="1"/>
  <c r="P36" i="1"/>
  <c r="O36" i="1"/>
  <c r="M36" i="1"/>
  <c r="K36" i="1"/>
  <c r="J36" i="1"/>
  <c r="L36" i="1" s="1"/>
  <c r="G36" i="1"/>
  <c r="F36" i="1"/>
  <c r="H36" i="1" s="1"/>
  <c r="D36" i="1"/>
  <c r="C36" i="1"/>
  <c r="B36" i="1"/>
  <c r="AU35" i="1"/>
  <c r="AW35" i="1" s="1"/>
  <c r="AS35" i="1"/>
  <c r="AR35" i="1"/>
  <c r="AO35" i="1"/>
  <c r="AN35" i="1"/>
  <c r="AK35" i="1"/>
  <c r="AJ35" i="1"/>
  <c r="AH35" i="1"/>
  <c r="AH43" i="1" s="1"/>
  <c r="AJ43" i="1" s="1"/>
  <c r="AG35" i="1"/>
  <c r="AD35" i="1"/>
  <c r="AF35" i="1" s="1"/>
  <c r="AC35" i="1"/>
  <c r="AB35" i="1"/>
  <c r="Z35" i="1"/>
  <c r="Y35" i="1"/>
  <c r="V35" i="1"/>
  <c r="V43" i="1" s="1"/>
  <c r="U35" i="1"/>
  <c r="R35" i="1"/>
  <c r="T35" i="1" s="1"/>
  <c r="Q35" i="1"/>
  <c r="P35" i="1"/>
  <c r="M35" i="1"/>
  <c r="L35" i="1"/>
  <c r="J35" i="1"/>
  <c r="I35" i="1"/>
  <c r="F35" i="1"/>
  <c r="H35" i="1" s="1"/>
  <c r="E35" i="1"/>
  <c r="B35" i="1"/>
  <c r="AW34" i="1"/>
  <c r="AU34" i="1"/>
  <c r="AT34" i="1"/>
  <c r="AV34" i="1" s="1"/>
  <c r="AS34" i="1"/>
  <c r="AR34" i="1"/>
  <c r="AO34" i="1"/>
  <c r="AN34" i="1"/>
  <c r="AK34" i="1"/>
  <c r="AJ34" i="1"/>
  <c r="AG34" i="1"/>
  <c r="AF34" i="1"/>
  <c r="AC34" i="1"/>
  <c r="AB34" i="1"/>
  <c r="Y34" i="1"/>
  <c r="X34" i="1"/>
  <c r="U34" i="1"/>
  <c r="T34" i="1"/>
  <c r="Q34" i="1"/>
  <c r="P34" i="1"/>
  <c r="M34" i="1"/>
  <c r="L34" i="1"/>
  <c r="I34" i="1"/>
  <c r="H34" i="1"/>
  <c r="E34" i="1"/>
  <c r="D34" i="1"/>
  <c r="AQ33" i="1"/>
  <c r="AS33" i="1" s="1"/>
  <c r="AM33" i="1"/>
  <c r="AO33" i="1" s="1"/>
  <c r="AK33" i="1"/>
  <c r="AJ33" i="1"/>
  <c r="AI33" i="1"/>
  <c r="AG33" i="1"/>
  <c r="AF33" i="1"/>
  <c r="AE33" i="1"/>
  <c r="AA33" i="1"/>
  <c r="AC33" i="1" s="1"/>
  <c r="Z33" i="1"/>
  <c r="AB33" i="1" s="1"/>
  <c r="W33" i="1"/>
  <c r="V33" i="1"/>
  <c r="AT33" i="1" s="1"/>
  <c r="T33" i="1"/>
  <c r="S33" i="1"/>
  <c r="U33" i="1" s="1"/>
  <c r="O33" i="1"/>
  <c r="Q33" i="1" s="1"/>
  <c r="M33" i="1"/>
  <c r="L33" i="1"/>
  <c r="K33" i="1"/>
  <c r="G33" i="1"/>
  <c r="H33" i="1" s="1"/>
  <c r="D33" i="1"/>
  <c r="C33" i="1"/>
  <c r="E33" i="1" s="1"/>
  <c r="AQ32" i="1"/>
  <c r="AS32" i="1" s="1"/>
  <c r="AP32" i="1"/>
  <c r="AR32" i="1" s="1"/>
  <c r="AG32" i="1"/>
  <c r="AE32" i="1"/>
  <c r="AA32" i="1"/>
  <c r="AC32" i="1" s="1"/>
  <c r="W32" i="1"/>
  <c r="Y32" i="1" s="1"/>
  <c r="S32" i="1"/>
  <c r="U32" i="1" s="1"/>
  <c r="R32" i="1"/>
  <c r="T32" i="1" s="1"/>
  <c r="Q32" i="1"/>
  <c r="F32" i="1"/>
  <c r="B32" i="1"/>
  <c r="AW31" i="1"/>
  <c r="AU31" i="1"/>
  <c r="AS31" i="1"/>
  <c r="AP31" i="1"/>
  <c r="AR31" i="1" s="1"/>
  <c r="AO31" i="1"/>
  <c r="AN31" i="1"/>
  <c r="AL31" i="1"/>
  <c r="AK31" i="1"/>
  <c r="AH31" i="1"/>
  <c r="AJ31" i="1" s="1"/>
  <c r="AG31" i="1"/>
  <c r="AF31" i="1"/>
  <c r="AD31" i="1"/>
  <c r="AC31" i="1"/>
  <c r="Z31" i="1"/>
  <c r="AB31" i="1" s="1"/>
  <c r="Y31" i="1"/>
  <c r="V31" i="1"/>
  <c r="X31" i="1" s="1"/>
  <c r="U31" i="1"/>
  <c r="T31" i="1"/>
  <c r="R31" i="1"/>
  <c r="Q31" i="1"/>
  <c r="N31" i="1"/>
  <c r="P31" i="1" s="1"/>
  <c r="M31" i="1"/>
  <c r="J31" i="1"/>
  <c r="I31" i="1"/>
  <c r="H31" i="1"/>
  <c r="F31" i="1"/>
  <c r="E31" i="1"/>
  <c r="D31" i="1"/>
  <c r="B31" i="1"/>
  <c r="AU30" i="1"/>
  <c r="AW30" i="1" s="1"/>
  <c r="AS30" i="1"/>
  <c r="AR30" i="1"/>
  <c r="AO30" i="1"/>
  <c r="AN30" i="1"/>
  <c r="AL30" i="1"/>
  <c r="AK30" i="1"/>
  <c r="AH30" i="1"/>
  <c r="AJ30" i="1" s="1"/>
  <c r="AG30" i="1"/>
  <c r="AD30" i="1"/>
  <c r="AC30" i="1"/>
  <c r="AB30" i="1"/>
  <c r="Z30" i="1"/>
  <c r="Y30" i="1"/>
  <c r="V30" i="1"/>
  <c r="X30" i="1" s="1"/>
  <c r="U30" i="1"/>
  <c r="T30" i="1"/>
  <c r="Q30" i="1"/>
  <c r="P30" i="1"/>
  <c r="N30" i="1"/>
  <c r="M30" i="1"/>
  <c r="L30" i="1"/>
  <c r="J30" i="1"/>
  <c r="I30" i="1"/>
  <c r="H30" i="1"/>
  <c r="E30" i="1"/>
  <c r="D30" i="1"/>
  <c r="AU29" i="1"/>
  <c r="AW29" i="1" s="1"/>
  <c r="AT29" i="1"/>
  <c r="AV29" i="1" s="1"/>
  <c r="AS29" i="1"/>
  <c r="AR29" i="1"/>
  <c r="AO29" i="1"/>
  <c r="AL29" i="1"/>
  <c r="AN29" i="1" s="1"/>
  <c r="AK29" i="1"/>
  <c r="AJ29" i="1"/>
  <c r="AG29" i="1"/>
  <c r="AF29" i="1"/>
  <c r="AC29" i="1"/>
  <c r="AB29" i="1"/>
  <c r="Y29" i="1"/>
  <c r="X29" i="1"/>
  <c r="V29" i="1"/>
  <c r="U29" i="1"/>
  <c r="R29" i="1"/>
  <c r="T29" i="1" s="1"/>
  <c r="Q29" i="1"/>
  <c r="N29" i="1"/>
  <c r="N32" i="1" s="1"/>
  <c r="M29" i="1"/>
  <c r="L29" i="1"/>
  <c r="I29" i="1"/>
  <c r="H29" i="1"/>
  <c r="E29" i="1"/>
  <c r="D29" i="1"/>
  <c r="AU28" i="1"/>
  <c r="AW28" i="1" s="1"/>
  <c r="AS28" i="1"/>
  <c r="AP28" i="1"/>
  <c r="AR28" i="1" s="1"/>
  <c r="AO28" i="1"/>
  <c r="AN28" i="1"/>
  <c r="AL28" i="1"/>
  <c r="AK28" i="1"/>
  <c r="AH28" i="1"/>
  <c r="AH32" i="1" s="1"/>
  <c r="AG28" i="1"/>
  <c r="AD28" i="1"/>
  <c r="AC28" i="1"/>
  <c r="AB28" i="1"/>
  <c r="Y28" i="1"/>
  <c r="V28" i="1"/>
  <c r="X28" i="1" s="1"/>
  <c r="U28" i="1"/>
  <c r="T28" i="1"/>
  <c r="Q28" i="1"/>
  <c r="P28" i="1"/>
  <c r="N28" i="1"/>
  <c r="M28" i="1"/>
  <c r="L28" i="1"/>
  <c r="J28" i="1"/>
  <c r="J32" i="1" s="1"/>
  <c r="I28" i="1"/>
  <c r="H28" i="1"/>
  <c r="E28" i="1"/>
  <c r="B28" i="1"/>
  <c r="AS27" i="1"/>
  <c r="AR27" i="1"/>
  <c r="AQ27" i="1"/>
  <c r="AP27" i="1"/>
  <c r="AO27" i="1"/>
  <c r="AN27" i="1"/>
  <c r="AM27" i="1"/>
  <c r="AM32" i="1" s="1"/>
  <c r="AO32" i="1" s="1"/>
  <c r="AL27" i="1"/>
  <c r="AI27" i="1"/>
  <c r="AI32" i="1" s="1"/>
  <c r="AK32" i="1" s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V32" i="1" s="1"/>
  <c r="X32" i="1" s="1"/>
  <c r="U27" i="1"/>
  <c r="T27" i="1"/>
  <c r="S27" i="1"/>
  <c r="R27" i="1"/>
  <c r="O27" i="1"/>
  <c r="O32" i="1" s="1"/>
  <c r="L27" i="1"/>
  <c r="K27" i="1"/>
  <c r="M27" i="1" s="1"/>
  <c r="J27" i="1"/>
  <c r="AT27" i="1" s="1"/>
  <c r="G27" i="1"/>
  <c r="G32" i="1" s="1"/>
  <c r="C27" i="1"/>
  <c r="AU26" i="1"/>
  <c r="AS26" i="1"/>
  <c r="AQ26" i="1"/>
  <c r="AP26" i="1"/>
  <c r="AR26" i="1" s="1"/>
  <c r="AO26" i="1"/>
  <c r="AN26" i="1"/>
  <c r="AM26" i="1"/>
  <c r="AL26" i="1"/>
  <c r="AJ26" i="1"/>
  <c r="AI26" i="1"/>
  <c r="AK26" i="1" s="1"/>
  <c r="AH26" i="1"/>
  <c r="AG26" i="1"/>
  <c r="AE26" i="1"/>
  <c r="AD26" i="1"/>
  <c r="AF26" i="1" s="1"/>
  <c r="AA26" i="1"/>
  <c r="AC26" i="1" s="1"/>
  <c r="Z26" i="1"/>
  <c r="AB26" i="1" s="1"/>
  <c r="Y26" i="1"/>
  <c r="W26" i="1"/>
  <c r="V26" i="1"/>
  <c r="X26" i="1" s="1"/>
  <c r="U26" i="1"/>
  <c r="S26" i="1"/>
  <c r="R26" i="1"/>
  <c r="T26" i="1" s="1"/>
  <c r="O26" i="1"/>
  <c r="Q26" i="1" s="1"/>
  <c r="N26" i="1"/>
  <c r="P26" i="1" s="1"/>
  <c r="M26" i="1"/>
  <c r="K26" i="1"/>
  <c r="J26" i="1"/>
  <c r="L26" i="1" s="1"/>
  <c r="G26" i="1"/>
  <c r="I26" i="1" s="1"/>
  <c r="F26" i="1"/>
  <c r="E26" i="1"/>
  <c r="D26" i="1"/>
  <c r="C26" i="1"/>
  <c r="B26" i="1"/>
  <c r="AP25" i="1"/>
  <c r="AL25" i="1"/>
  <c r="AH25" i="1"/>
  <c r="AD25" i="1"/>
  <c r="U25" i="1"/>
  <c r="R25" i="1"/>
  <c r="T25" i="1" s="1"/>
  <c r="O25" i="1"/>
  <c r="Q25" i="1" s="1"/>
  <c r="N25" i="1"/>
  <c r="P25" i="1" s="1"/>
  <c r="F25" i="1"/>
  <c r="H25" i="1" s="1"/>
  <c r="AT24" i="1"/>
  <c r="AQ24" i="1"/>
  <c r="AS24" i="1" s="1"/>
  <c r="AM24" i="1"/>
  <c r="AO24" i="1" s="1"/>
  <c r="AJ24" i="1"/>
  <c r="AI24" i="1"/>
  <c r="AK24" i="1" s="1"/>
  <c r="AG24" i="1"/>
  <c r="AE24" i="1"/>
  <c r="AF24" i="1" s="1"/>
  <c r="AA24" i="1"/>
  <c r="AB24" i="1" s="1"/>
  <c r="Y24" i="1"/>
  <c r="X24" i="1"/>
  <c r="W24" i="1"/>
  <c r="T24" i="1"/>
  <c r="S24" i="1"/>
  <c r="U24" i="1" s="1"/>
  <c r="O24" i="1"/>
  <c r="Q24" i="1" s="1"/>
  <c r="M24" i="1"/>
  <c r="L24" i="1"/>
  <c r="K24" i="1"/>
  <c r="G24" i="1"/>
  <c r="G25" i="1" s="1"/>
  <c r="I25" i="1" s="1"/>
  <c r="E24" i="1"/>
  <c r="D24" i="1"/>
  <c r="C24" i="1"/>
  <c r="AT23" i="1"/>
  <c r="AQ23" i="1"/>
  <c r="AO23" i="1"/>
  <c r="AN23" i="1"/>
  <c r="AM23" i="1"/>
  <c r="AI23" i="1"/>
  <c r="AK23" i="1" s="1"/>
  <c r="AE23" i="1"/>
  <c r="AG23" i="1" s="1"/>
  <c r="AA23" i="1"/>
  <c r="AC23" i="1" s="1"/>
  <c r="Y23" i="1"/>
  <c r="X23" i="1"/>
  <c r="W23" i="1"/>
  <c r="U23" i="1"/>
  <c r="T23" i="1"/>
  <c r="S23" i="1"/>
  <c r="O23" i="1"/>
  <c r="Q23" i="1" s="1"/>
  <c r="M23" i="1"/>
  <c r="L23" i="1"/>
  <c r="K23" i="1"/>
  <c r="I23" i="1"/>
  <c r="H23" i="1"/>
  <c r="G23" i="1"/>
  <c r="C23" i="1"/>
  <c r="E23" i="1" s="1"/>
  <c r="AT22" i="1"/>
  <c r="AS22" i="1"/>
  <c r="AR22" i="1"/>
  <c r="AQ22" i="1"/>
  <c r="AP22" i="1"/>
  <c r="AM22" i="1"/>
  <c r="AI22" i="1"/>
  <c r="AG22" i="1"/>
  <c r="AF22" i="1"/>
  <c r="AE22" i="1"/>
  <c r="AC22" i="1"/>
  <c r="AA22" i="1"/>
  <c r="Z22" i="1"/>
  <c r="AB22" i="1" s="1"/>
  <c r="W22" i="1"/>
  <c r="W25" i="1" s="1"/>
  <c r="Y25" i="1" s="1"/>
  <c r="U22" i="1"/>
  <c r="T22" i="1"/>
  <c r="S22" i="1"/>
  <c r="S25" i="1" s="1"/>
  <c r="O22" i="1"/>
  <c r="K22" i="1"/>
  <c r="K25" i="1" s="1"/>
  <c r="M25" i="1" s="1"/>
  <c r="J22" i="1"/>
  <c r="L22" i="1" s="1"/>
  <c r="I22" i="1"/>
  <c r="H22" i="1"/>
  <c r="G22" i="1"/>
  <c r="F22" i="1"/>
  <c r="C22" i="1"/>
  <c r="C25" i="1" s="1"/>
  <c r="AU21" i="1"/>
  <c r="AW21" i="1" s="1"/>
  <c r="AS21" i="1"/>
  <c r="AR21" i="1"/>
  <c r="AP21" i="1"/>
  <c r="AO21" i="1"/>
  <c r="AL21" i="1"/>
  <c r="AN21" i="1" s="1"/>
  <c r="AK21" i="1"/>
  <c r="AJ21" i="1"/>
  <c r="AG21" i="1"/>
  <c r="AD21" i="1"/>
  <c r="AF21" i="1" s="1"/>
  <c r="AC21" i="1"/>
  <c r="Z21" i="1"/>
  <c r="Z25" i="1" s="1"/>
  <c r="Y21" i="1"/>
  <c r="X21" i="1"/>
  <c r="V21" i="1"/>
  <c r="V25" i="1" s="1"/>
  <c r="X25" i="1" s="1"/>
  <c r="U21" i="1"/>
  <c r="T21" i="1"/>
  <c r="R21" i="1"/>
  <c r="Q21" i="1"/>
  <c r="P21" i="1"/>
  <c r="N21" i="1"/>
  <c r="M21" i="1"/>
  <c r="J21" i="1"/>
  <c r="L21" i="1" s="1"/>
  <c r="I21" i="1"/>
  <c r="H21" i="1"/>
  <c r="E21" i="1"/>
  <c r="D21" i="1"/>
  <c r="B21" i="1"/>
  <c r="AS20" i="1"/>
  <c r="AQ20" i="1"/>
  <c r="AP20" i="1"/>
  <c r="AR20" i="1" s="1"/>
  <c r="AM20" i="1"/>
  <c r="AO20" i="1" s="1"/>
  <c r="AL20" i="1"/>
  <c r="AJ20" i="1"/>
  <c r="AI20" i="1"/>
  <c r="AK20" i="1" s="1"/>
  <c r="AH20" i="1"/>
  <c r="AE20" i="1"/>
  <c r="AG20" i="1" s="1"/>
  <c r="AD20" i="1"/>
  <c r="AF20" i="1" s="1"/>
  <c r="AB20" i="1"/>
  <c r="AA20" i="1"/>
  <c r="AC20" i="1" s="1"/>
  <c r="Z20" i="1"/>
  <c r="W20" i="1"/>
  <c r="Y20" i="1" s="1"/>
  <c r="V20" i="1"/>
  <c r="X20" i="1" s="1"/>
  <c r="T20" i="1"/>
  <c r="S20" i="1"/>
  <c r="U20" i="1" s="1"/>
  <c r="R20" i="1"/>
  <c r="O20" i="1"/>
  <c r="Q20" i="1" s="1"/>
  <c r="N20" i="1"/>
  <c r="P20" i="1" s="1"/>
  <c r="M20" i="1"/>
  <c r="K20" i="1"/>
  <c r="J20" i="1"/>
  <c r="L20" i="1" s="1"/>
  <c r="G20" i="1"/>
  <c r="I20" i="1" s="1"/>
  <c r="F20" i="1"/>
  <c r="H20" i="1" s="1"/>
  <c r="E20" i="1"/>
  <c r="D20" i="1"/>
  <c r="C20" i="1"/>
  <c r="B20" i="1"/>
  <c r="AT20" i="1" s="1"/>
  <c r="AW19" i="1"/>
  <c r="AU19" i="1"/>
  <c r="AS19" i="1"/>
  <c r="AR19" i="1"/>
  <c r="AO19" i="1"/>
  <c r="AL19" i="1"/>
  <c r="AN19" i="1" s="1"/>
  <c r="AK19" i="1"/>
  <c r="AJ19" i="1"/>
  <c r="AH19" i="1"/>
  <c r="AG19" i="1"/>
  <c r="AF19" i="1"/>
  <c r="AC19" i="1"/>
  <c r="Z19" i="1"/>
  <c r="AB19" i="1" s="1"/>
  <c r="Y19" i="1"/>
  <c r="X19" i="1"/>
  <c r="V19" i="1"/>
  <c r="U19" i="1"/>
  <c r="T19" i="1"/>
  <c r="Q19" i="1"/>
  <c r="N19" i="1"/>
  <c r="M19" i="1"/>
  <c r="L19" i="1"/>
  <c r="I19" i="1"/>
  <c r="H19" i="1"/>
  <c r="E19" i="1"/>
  <c r="D19" i="1"/>
  <c r="AP18" i="1"/>
  <c r="AH18" i="1"/>
  <c r="AA18" i="1"/>
  <c r="AC18" i="1" s="1"/>
  <c r="S18" i="1"/>
  <c r="R18" i="1"/>
  <c r="C18" i="1"/>
  <c r="AU17" i="1"/>
  <c r="AW17" i="1" s="1"/>
  <c r="AT17" i="1"/>
  <c r="AV17" i="1" s="1"/>
  <c r="AS17" i="1"/>
  <c r="AR17" i="1"/>
  <c r="AO17" i="1"/>
  <c r="AN17" i="1"/>
  <c r="AL17" i="1"/>
  <c r="AK17" i="1"/>
  <c r="AJ17" i="1"/>
  <c r="AG17" i="1"/>
  <c r="AF17" i="1"/>
  <c r="AD17" i="1"/>
  <c r="AC17" i="1"/>
  <c r="Z17" i="1"/>
  <c r="AB17" i="1" s="1"/>
  <c r="Y17" i="1"/>
  <c r="X17" i="1"/>
  <c r="U17" i="1"/>
  <c r="T17" i="1"/>
  <c r="Q17" i="1"/>
  <c r="P17" i="1"/>
  <c r="M17" i="1"/>
  <c r="L17" i="1"/>
  <c r="I17" i="1"/>
  <c r="H17" i="1"/>
  <c r="E17" i="1"/>
  <c r="D17" i="1"/>
  <c r="AP16" i="1"/>
  <c r="AL16" i="1"/>
  <c r="AI16" i="1"/>
  <c r="AK16" i="1" s="1"/>
  <c r="AE16" i="1"/>
  <c r="AG16" i="1" s="1"/>
  <c r="AD16" i="1"/>
  <c r="AF16" i="1" s="1"/>
  <c r="AC16" i="1"/>
  <c r="AB16" i="1"/>
  <c r="AA16" i="1"/>
  <c r="Z16" i="1"/>
  <c r="U16" i="1"/>
  <c r="S16" i="1"/>
  <c r="R16" i="1"/>
  <c r="T16" i="1" s="1"/>
  <c r="Q16" i="1"/>
  <c r="P16" i="1"/>
  <c r="O16" i="1"/>
  <c r="N16" i="1"/>
  <c r="J16" i="1"/>
  <c r="G16" i="1"/>
  <c r="H16" i="1" s="1"/>
  <c r="F16" i="1"/>
  <c r="C16" i="1"/>
  <c r="B16" i="1"/>
  <c r="D16" i="1" s="1"/>
  <c r="AU15" i="1"/>
  <c r="AW15" i="1" s="1"/>
  <c r="AT15" i="1"/>
  <c r="AV15" i="1" s="1"/>
  <c r="AS15" i="1"/>
  <c r="AR15" i="1"/>
  <c r="AO15" i="1"/>
  <c r="AN15" i="1"/>
  <c r="AK15" i="1"/>
  <c r="AH15" i="1"/>
  <c r="AH16" i="1" s="1"/>
  <c r="AJ16" i="1" s="1"/>
  <c r="AG15" i="1"/>
  <c r="AF15" i="1"/>
  <c r="AC15" i="1"/>
  <c r="AB15" i="1"/>
  <c r="Y15" i="1"/>
  <c r="V15" i="1"/>
  <c r="X15" i="1" s="1"/>
  <c r="U15" i="1"/>
  <c r="T15" i="1"/>
  <c r="Q15" i="1"/>
  <c r="P15" i="1"/>
  <c r="M15" i="1"/>
  <c r="L15" i="1"/>
  <c r="I15" i="1"/>
  <c r="H15" i="1"/>
  <c r="E15" i="1"/>
  <c r="D15" i="1"/>
  <c r="AT14" i="1"/>
  <c r="AQ14" i="1"/>
  <c r="AQ16" i="1" s="1"/>
  <c r="AM14" i="1"/>
  <c r="AK14" i="1"/>
  <c r="AJ14" i="1"/>
  <c r="AI14" i="1"/>
  <c r="AE14" i="1"/>
  <c r="AG14" i="1" s="1"/>
  <c r="AD14" i="1"/>
  <c r="AC14" i="1"/>
  <c r="AB14" i="1"/>
  <c r="AA14" i="1"/>
  <c r="W14" i="1"/>
  <c r="Y14" i="1" s="1"/>
  <c r="U14" i="1"/>
  <c r="T14" i="1"/>
  <c r="S14" i="1"/>
  <c r="Q14" i="1"/>
  <c r="P14" i="1"/>
  <c r="O14" i="1"/>
  <c r="K14" i="1"/>
  <c r="I14" i="1"/>
  <c r="G14" i="1"/>
  <c r="H14" i="1" s="1"/>
  <c r="E14" i="1"/>
  <c r="D14" i="1"/>
  <c r="C14" i="1"/>
  <c r="AQ13" i="1"/>
  <c r="AR13" i="1" s="1"/>
  <c r="AO13" i="1"/>
  <c r="AN13" i="1"/>
  <c r="AM13" i="1"/>
  <c r="AL13" i="1"/>
  <c r="AI13" i="1"/>
  <c r="AK13" i="1" s="1"/>
  <c r="AG13" i="1"/>
  <c r="AF13" i="1"/>
  <c r="AE13" i="1"/>
  <c r="AD13" i="1"/>
  <c r="AA13" i="1"/>
  <c r="AC13" i="1" s="1"/>
  <c r="W13" i="1"/>
  <c r="U13" i="1"/>
  <c r="S13" i="1"/>
  <c r="R13" i="1"/>
  <c r="T13" i="1" s="1"/>
  <c r="Q13" i="1"/>
  <c r="P13" i="1"/>
  <c r="O13" i="1"/>
  <c r="K13" i="1"/>
  <c r="M13" i="1" s="1"/>
  <c r="J13" i="1"/>
  <c r="AT13" i="1" s="1"/>
  <c r="H13" i="1"/>
  <c r="G13" i="1"/>
  <c r="F13" i="1"/>
  <c r="E13" i="1"/>
  <c r="D13" i="1"/>
  <c r="C13" i="1"/>
  <c r="AQ12" i="1"/>
  <c r="AS12" i="1" s="1"/>
  <c r="AO12" i="1"/>
  <c r="AM12" i="1"/>
  <c r="AN12" i="1" s="1"/>
  <c r="AK12" i="1"/>
  <c r="AI12" i="1"/>
  <c r="AJ12" i="1" s="1"/>
  <c r="AE12" i="1"/>
  <c r="AG12" i="1" s="1"/>
  <c r="AD12" i="1"/>
  <c r="AF12" i="1" s="1"/>
  <c r="AC12" i="1"/>
  <c r="AB12" i="1"/>
  <c r="AA12" i="1"/>
  <c r="W12" i="1"/>
  <c r="Y12" i="1" s="1"/>
  <c r="V12" i="1"/>
  <c r="X12" i="1" s="1"/>
  <c r="T12" i="1"/>
  <c r="S12" i="1"/>
  <c r="U12" i="1" s="1"/>
  <c r="R12" i="1"/>
  <c r="O12" i="1"/>
  <c r="Q12" i="1" s="1"/>
  <c r="M12" i="1"/>
  <c r="L12" i="1"/>
  <c r="K12" i="1"/>
  <c r="G12" i="1"/>
  <c r="AU12" i="1" s="1"/>
  <c r="F12" i="1"/>
  <c r="E12" i="1"/>
  <c r="C12" i="1"/>
  <c r="D12" i="1" s="1"/>
  <c r="AQ11" i="1"/>
  <c r="AS11" i="1" s="1"/>
  <c r="AN11" i="1"/>
  <c r="AM11" i="1"/>
  <c r="AO11" i="1" s="1"/>
  <c r="AJ11" i="1"/>
  <c r="AI11" i="1"/>
  <c r="AI18" i="1" s="1"/>
  <c r="AG11" i="1"/>
  <c r="AE11" i="1"/>
  <c r="AD11" i="1"/>
  <c r="AF11" i="1" s="1"/>
  <c r="AC11" i="1"/>
  <c r="AA11" i="1"/>
  <c r="Z11" i="1"/>
  <c r="Y11" i="1"/>
  <c r="X11" i="1"/>
  <c r="W11" i="1"/>
  <c r="V11" i="1"/>
  <c r="U11" i="1"/>
  <c r="S11" i="1"/>
  <c r="R11" i="1"/>
  <c r="T11" i="1" s="1"/>
  <c r="O11" i="1"/>
  <c r="Q11" i="1" s="1"/>
  <c r="N11" i="1"/>
  <c r="N18" i="1" s="1"/>
  <c r="M11" i="1"/>
  <c r="L11" i="1"/>
  <c r="K11" i="1"/>
  <c r="J11" i="1"/>
  <c r="I11" i="1"/>
  <c r="G11" i="1"/>
  <c r="F11" i="1"/>
  <c r="H11" i="1" s="1"/>
  <c r="E11" i="1"/>
  <c r="D11" i="1"/>
  <c r="C11" i="1"/>
  <c r="AU11" i="1" s="1"/>
  <c r="AQ10" i="1"/>
  <c r="AS10" i="1" s="1"/>
  <c r="AP10" i="1"/>
  <c r="AR10" i="1" s="1"/>
  <c r="AM10" i="1"/>
  <c r="AO10" i="1" s="1"/>
  <c r="AL10" i="1"/>
  <c r="AN10" i="1" s="1"/>
  <c r="AK10" i="1"/>
  <c r="AJ10" i="1"/>
  <c r="AI10" i="1"/>
  <c r="AH10" i="1"/>
  <c r="AE10" i="1"/>
  <c r="AG10" i="1" s="1"/>
  <c r="AD10" i="1"/>
  <c r="AC10" i="1"/>
  <c r="AA10" i="1"/>
  <c r="AB10" i="1" s="1"/>
  <c r="Z10" i="1"/>
  <c r="W10" i="1"/>
  <c r="Y10" i="1" s="1"/>
  <c r="V10" i="1"/>
  <c r="X10" i="1" s="1"/>
  <c r="S10" i="1"/>
  <c r="U10" i="1" s="1"/>
  <c r="R10" i="1"/>
  <c r="T10" i="1" s="1"/>
  <c r="Q10" i="1"/>
  <c r="P10" i="1"/>
  <c r="O10" i="1"/>
  <c r="N10" i="1"/>
  <c r="K10" i="1"/>
  <c r="J10" i="1"/>
  <c r="I10" i="1"/>
  <c r="G10" i="1"/>
  <c r="H10" i="1" s="1"/>
  <c r="F10" i="1"/>
  <c r="C10" i="1"/>
  <c r="B10" i="1"/>
  <c r="AS9" i="1"/>
  <c r="AR9" i="1"/>
  <c r="AQ9" i="1"/>
  <c r="AP9" i="1"/>
  <c r="AM9" i="1"/>
  <c r="AL9" i="1"/>
  <c r="AK9" i="1"/>
  <c r="AI9" i="1"/>
  <c r="AJ9" i="1" s="1"/>
  <c r="AE9" i="1"/>
  <c r="AG9" i="1" s="1"/>
  <c r="AD9" i="1"/>
  <c r="AC9" i="1"/>
  <c r="AA9" i="1"/>
  <c r="Z9" i="1"/>
  <c r="AB9" i="1" s="1"/>
  <c r="Y9" i="1"/>
  <c r="X9" i="1"/>
  <c r="W9" i="1"/>
  <c r="V9" i="1"/>
  <c r="S9" i="1"/>
  <c r="U9" i="1" s="1"/>
  <c r="O9" i="1"/>
  <c r="M9" i="1"/>
  <c r="L9" i="1"/>
  <c r="K9" i="1"/>
  <c r="G9" i="1"/>
  <c r="I9" i="1" s="1"/>
  <c r="F9" i="1"/>
  <c r="C9" i="1"/>
  <c r="B9" i="1"/>
  <c r="E9" i="1" s="1"/>
  <c r="AW8" i="1"/>
  <c r="AU8" i="1"/>
  <c r="AS8" i="1"/>
  <c r="AR8" i="1"/>
  <c r="AO8" i="1"/>
  <c r="AN8" i="1"/>
  <c r="AK8" i="1"/>
  <c r="AJ8" i="1"/>
  <c r="AG8" i="1"/>
  <c r="AD8" i="1"/>
  <c r="AC8" i="1"/>
  <c r="AB8" i="1"/>
  <c r="Y8" i="1"/>
  <c r="X8" i="1"/>
  <c r="U8" i="1"/>
  <c r="T8" i="1"/>
  <c r="Q8" i="1"/>
  <c r="P8" i="1"/>
  <c r="M8" i="1"/>
  <c r="L8" i="1"/>
  <c r="I8" i="1"/>
  <c r="H8" i="1"/>
  <c r="E8" i="1"/>
  <c r="D8" i="1"/>
  <c r="AW72" i="1" l="1"/>
  <c r="AB11" i="1"/>
  <c r="Z18" i="1"/>
  <c r="L31" i="1"/>
  <c r="AT31" i="1"/>
  <c r="AV31" i="1" s="1"/>
  <c r="AV46" i="1"/>
  <c r="AE52" i="1"/>
  <c r="AG52" i="1" s="1"/>
  <c r="AG50" i="1"/>
  <c r="AF50" i="1"/>
  <c r="AT57" i="1"/>
  <c r="AF57" i="1"/>
  <c r="N78" i="1"/>
  <c r="AW11" i="1"/>
  <c r="H60" i="1"/>
  <c r="AT60" i="1"/>
  <c r="AV60" i="1" s="1"/>
  <c r="AN14" i="1"/>
  <c r="AM16" i="1"/>
  <c r="AO14" i="1"/>
  <c r="AO38" i="1"/>
  <c r="AM43" i="1"/>
  <c r="AO43" i="1" s="1"/>
  <c r="AN38" i="1"/>
  <c r="I60" i="1"/>
  <c r="G61" i="1"/>
  <c r="AU60" i="1"/>
  <c r="AV95" i="1"/>
  <c r="AS16" i="1"/>
  <c r="AR16" i="1"/>
  <c r="AP53" i="1"/>
  <c r="AR18" i="1"/>
  <c r="L61" i="1"/>
  <c r="J85" i="1"/>
  <c r="AQ68" i="1"/>
  <c r="AS67" i="1"/>
  <c r="AR67" i="1"/>
  <c r="I95" i="1"/>
  <c r="H95" i="1"/>
  <c r="AG141" i="1"/>
  <c r="AF141" i="1"/>
  <c r="AB43" i="1"/>
  <c r="AU14" i="1"/>
  <c r="K16" i="1"/>
  <c r="M16" i="1" s="1"/>
  <c r="M14" i="1"/>
  <c r="Y33" i="1"/>
  <c r="X33" i="1"/>
  <c r="AT83" i="1"/>
  <c r="AV83" i="1" s="1"/>
  <c r="D83" i="1"/>
  <c r="AK18" i="1"/>
  <c r="AI53" i="1"/>
  <c r="L14" i="1"/>
  <c r="AI25" i="1"/>
  <c r="AK25" i="1" s="1"/>
  <c r="AK22" i="1"/>
  <c r="AA43" i="1"/>
  <c r="AC43" i="1" s="1"/>
  <c r="AC36" i="1"/>
  <c r="AC79" i="1"/>
  <c r="AB79" i="1"/>
  <c r="AL18" i="1"/>
  <c r="AT9" i="1"/>
  <c r="AV9" i="1" s="1"/>
  <c r="AN9" i="1"/>
  <c r="AJ22" i="1"/>
  <c r="AB36" i="1"/>
  <c r="M38" i="1"/>
  <c r="L38" i="1"/>
  <c r="T43" i="1"/>
  <c r="AA61" i="1"/>
  <c r="AC61" i="1" s="1"/>
  <c r="AC59" i="1"/>
  <c r="Q137" i="1"/>
  <c r="P137" i="1"/>
  <c r="H43" i="1"/>
  <c r="AV48" i="1"/>
  <c r="X94" i="1"/>
  <c r="Y94" i="1"/>
  <c r="AQ147" i="1"/>
  <c r="AS147" i="1" s="1"/>
  <c r="T72" i="1"/>
  <c r="U72" i="1"/>
  <c r="AF10" i="1"/>
  <c r="P18" i="1"/>
  <c r="AU20" i="1"/>
  <c r="AW20" i="1" s="1"/>
  <c r="AN65" i="1"/>
  <c r="AO65" i="1"/>
  <c r="AT30" i="1"/>
  <c r="AV30" i="1" s="1"/>
  <c r="AF30" i="1"/>
  <c r="AM18" i="1"/>
  <c r="AO9" i="1"/>
  <c r="AD32" i="1"/>
  <c r="AF32" i="1" s="1"/>
  <c r="AF28" i="1"/>
  <c r="S43" i="1"/>
  <c r="U43" i="1" s="1"/>
  <c r="AU41" i="1"/>
  <c r="U41" i="1"/>
  <c r="T41" i="1"/>
  <c r="M48" i="1"/>
  <c r="L48" i="1"/>
  <c r="K50" i="1"/>
  <c r="AU48" i="1"/>
  <c r="AW48" i="1" s="1"/>
  <c r="AN61" i="1"/>
  <c r="AH78" i="1"/>
  <c r="AJ77" i="1"/>
  <c r="AV33" i="1"/>
  <c r="AP85" i="1"/>
  <c r="AR61" i="1"/>
  <c r="AV20" i="1"/>
  <c r="AT12" i="1"/>
  <c r="AV12" i="1" s="1"/>
  <c r="AU10" i="1"/>
  <c r="AS23" i="1"/>
  <c r="AR23" i="1"/>
  <c r="AQ25" i="1"/>
  <c r="AS25" i="1" s="1"/>
  <c r="AJ32" i="1"/>
  <c r="AH53" i="1"/>
  <c r="X35" i="1"/>
  <c r="AU59" i="1"/>
  <c r="AV62" i="1"/>
  <c r="AB68" i="1"/>
  <c r="AL82" i="1"/>
  <c r="AN78" i="1"/>
  <c r="AV22" i="1"/>
  <c r="AT26" i="1"/>
  <c r="AV26" i="1" s="1"/>
  <c r="H26" i="1"/>
  <c r="AV65" i="1"/>
  <c r="O18" i="1"/>
  <c r="AU9" i="1"/>
  <c r="Q9" i="1"/>
  <c r="P9" i="1"/>
  <c r="AB25" i="1"/>
  <c r="AV23" i="1"/>
  <c r="AC37" i="1"/>
  <c r="AT28" i="1"/>
  <c r="AV28" i="1" s="1"/>
  <c r="AV44" i="1"/>
  <c r="N52" i="1"/>
  <c r="N53" i="1" s="1"/>
  <c r="AR73" i="1"/>
  <c r="F82" i="1"/>
  <c r="H78" i="1"/>
  <c r="I32" i="1"/>
  <c r="H32" i="1"/>
  <c r="P32" i="1"/>
  <c r="S50" i="1"/>
  <c r="T46" i="1"/>
  <c r="AU46" i="1"/>
  <c r="AW46" i="1" s="1"/>
  <c r="U46" i="1"/>
  <c r="AS40" i="1"/>
  <c r="AR40" i="1"/>
  <c r="AP64" i="1"/>
  <c r="AR64" i="1" s="1"/>
  <c r="AR63" i="1"/>
  <c r="AR25" i="1"/>
  <c r="J18" i="1"/>
  <c r="L10" i="1"/>
  <c r="AU13" i="1"/>
  <c r="AW13" i="1" s="1"/>
  <c r="I13" i="1"/>
  <c r="R53" i="1"/>
  <c r="T18" i="1"/>
  <c r="E25" i="1"/>
  <c r="AV39" i="1"/>
  <c r="AV40" i="1"/>
  <c r="J82" i="1"/>
  <c r="I16" i="1"/>
  <c r="AD18" i="1"/>
  <c r="W18" i="1"/>
  <c r="M10" i="1"/>
  <c r="U18" i="1"/>
  <c r="B25" i="1"/>
  <c r="AT21" i="1"/>
  <c r="AV21" i="1" s="1"/>
  <c r="AC47" i="1"/>
  <c r="AA50" i="1"/>
  <c r="AB47" i="1"/>
  <c r="AK61" i="1"/>
  <c r="G43" i="1"/>
  <c r="I43" i="1" s="1"/>
  <c r="I36" i="1"/>
  <c r="P40" i="1"/>
  <c r="AN41" i="1"/>
  <c r="L42" i="1"/>
  <c r="L51" i="1"/>
  <c r="AT63" i="1"/>
  <c r="AV63" i="1" s="1"/>
  <c r="I65" i="1"/>
  <c r="AS65" i="1"/>
  <c r="AR65" i="1"/>
  <c r="AB70" i="1"/>
  <c r="H77" i="1"/>
  <c r="AU79" i="1"/>
  <c r="AW79" i="1" s="1"/>
  <c r="AF81" i="1"/>
  <c r="R82" i="1"/>
  <c r="P99" i="1"/>
  <c r="N106" i="1"/>
  <c r="AB100" i="1"/>
  <c r="AT101" i="1"/>
  <c r="L134" i="1"/>
  <c r="AW140" i="1"/>
  <c r="AJ154" i="1"/>
  <c r="AW83" i="1"/>
  <c r="Q40" i="1"/>
  <c r="AS61" i="1"/>
  <c r="AC70" i="1"/>
  <c r="T76" i="1"/>
  <c r="S78" i="1"/>
  <c r="T78" i="1" s="1"/>
  <c r="E83" i="1"/>
  <c r="H84" i="1"/>
  <c r="AR84" i="1"/>
  <c r="Q89" i="1"/>
  <c r="O92" i="1"/>
  <c r="AU92" i="1" s="1"/>
  <c r="AW92" i="1" s="1"/>
  <c r="AQ92" i="1"/>
  <c r="AR92" i="1" s="1"/>
  <c r="AR89" i="1"/>
  <c r="K96" i="1"/>
  <c r="M92" i="1"/>
  <c r="Q99" i="1"/>
  <c r="O106" i="1"/>
  <c r="Q106" i="1" s="1"/>
  <c r="AC100" i="1"/>
  <c r="AO101" i="1"/>
  <c r="AT103" i="1"/>
  <c r="AV103" i="1" s="1"/>
  <c r="M113" i="1"/>
  <c r="L113" i="1"/>
  <c r="AR135" i="1"/>
  <c r="AP138" i="1"/>
  <c r="Y142" i="1"/>
  <c r="X142" i="1"/>
  <c r="W145" i="1"/>
  <c r="Y145" i="1" s="1"/>
  <c r="AT144" i="1"/>
  <c r="AV144" i="1" s="1"/>
  <c r="D144" i="1"/>
  <c r="B145" i="1"/>
  <c r="AJ13" i="1"/>
  <c r="AM25" i="1"/>
  <c r="AO25" i="1" s="1"/>
  <c r="AO22" i="1"/>
  <c r="AU23" i="1"/>
  <c r="AW23" i="1" s="1"/>
  <c r="AU27" i="1"/>
  <c r="E27" i="1"/>
  <c r="D27" i="1"/>
  <c r="P29" i="1"/>
  <c r="AF47" i="1"/>
  <c r="E59" i="1"/>
  <c r="AK60" i="1"/>
  <c r="Q38" i="1"/>
  <c r="P38" i="1"/>
  <c r="M22" i="1"/>
  <c r="AC24" i="1"/>
  <c r="J25" i="1"/>
  <c r="L25" i="1" s="1"/>
  <c r="H27" i="1"/>
  <c r="AJ28" i="1"/>
  <c r="AF36" i="1"/>
  <c r="T39" i="1"/>
  <c r="AL43" i="1"/>
  <c r="AJ50" i="1"/>
  <c r="P51" i="1"/>
  <c r="AS51" i="1"/>
  <c r="W52" i="1"/>
  <c r="Y52" i="1" s="1"/>
  <c r="AJ57" i="1"/>
  <c r="AJ59" i="1"/>
  <c r="AH61" i="1"/>
  <c r="S61" i="1"/>
  <c r="B64" i="1"/>
  <c r="AD64" i="1"/>
  <c r="D70" i="1"/>
  <c r="L77" i="1"/>
  <c r="Y78" i="1"/>
  <c r="AU81" i="1"/>
  <c r="AW81" i="1" s="1"/>
  <c r="D81" i="1"/>
  <c r="AU84" i="1"/>
  <c r="AW84" i="1" s="1"/>
  <c r="AT87" i="1"/>
  <c r="AV87" i="1" s="1"/>
  <c r="N92" i="1"/>
  <c r="AT92" i="1" s="1"/>
  <c r="E93" i="1"/>
  <c r="C96" i="1"/>
  <c r="E100" i="1"/>
  <c r="AN110" i="1"/>
  <c r="AL118" i="1"/>
  <c r="P112" i="1"/>
  <c r="M114" i="1"/>
  <c r="L114" i="1"/>
  <c r="L118" i="1"/>
  <c r="E125" i="1"/>
  <c r="C126" i="1"/>
  <c r="AU125" i="1"/>
  <c r="H149" i="1"/>
  <c r="AT149" i="1"/>
  <c r="G166" i="1"/>
  <c r="I166" i="1" s="1"/>
  <c r="AI165" i="1"/>
  <c r="AK165" i="1" s="1"/>
  <c r="AP107" i="1"/>
  <c r="AR87" i="1"/>
  <c r="K147" i="1"/>
  <c r="M147" i="1" s="1"/>
  <c r="AQ18" i="1"/>
  <c r="H12" i="1"/>
  <c r="AR14" i="1"/>
  <c r="AN22" i="1"/>
  <c r="D28" i="1"/>
  <c r="AG37" i="1"/>
  <c r="AJ42" i="1"/>
  <c r="K43" i="1"/>
  <c r="M43" i="1" s="1"/>
  <c r="AU49" i="1"/>
  <c r="E49" i="1"/>
  <c r="AF59" i="1"/>
  <c r="L60" i="1"/>
  <c r="R61" i="1"/>
  <c r="AG62" i="1"/>
  <c r="AU65" i="1"/>
  <c r="AW65" i="1" s="1"/>
  <c r="U67" i="1"/>
  <c r="AU70" i="1"/>
  <c r="AW70" i="1" s="1"/>
  <c r="C73" i="1"/>
  <c r="D73" i="1" s="1"/>
  <c r="L71" i="1"/>
  <c r="K73" i="1"/>
  <c r="M73" i="1" s="1"/>
  <c r="AQ73" i="1"/>
  <c r="AS73" i="1" s="1"/>
  <c r="AR71" i="1"/>
  <c r="AB72" i="1"/>
  <c r="Z73" i="1"/>
  <c r="AB73" i="1" s="1"/>
  <c r="X74" i="1"/>
  <c r="U76" i="1"/>
  <c r="AN77" i="1"/>
  <c r="AK81" i="1"/>
  <c r="T89" i="1"/>
  <c r="R92" i="1"/>
  <c r="AS89" i="1"/>
  <c r="L92" i="1"/>
  <c r="AC102" i="1"/>
  <c r="AB102" i="1"/>
  <c r="AW103" i="1"/>
  <c r="B106" i="1"/>
  <c r="B107" i="1" s="1"/>
  <c r="AV109" i="1"/>
  <c r="T9" i="1"/>
  <c r="I12" i="1"/>
  <c r="L13" i="1"/>
  <c r="AS14" i="1"/>
  <c r="AJ15" i="1"/>
  <c r="Q22" i="1"/>
  <c r="P22" i="1"/>
  <c r="AU24" i="1"/>
  <c r="AW24" i="1" s="1"/>
  <c r="I27" i="1"/>
  <c r="H37" i="1"/>
  <c r="AU38" i="1"/>
  <c r="AW38" i="1" s="1"/>
  <c r="AK47" i="1"/>
  <c r="AK49" i="1"/>
  <c r="P60" i="1"/>
  <c r="V61" i="1"/>
  <c r="C64" i="1"/>
  <c r="AE64" i="1"/>
  <c r="AG64" i="1" s="1"/>
  <c r="Q65" i="1"/>
  <c r="P65" i="1"/>
  <c r="AF68" i="1"/>
  <c r="E70" i="1"/>
  <c r="AF70" i="1"/>
  <c r="AT71" i="1"/>
  <c r="AP82" i="1"/>
  <c r="AR78" i="1"/>
  <c r="Z82" i="1"/>
  <c r="E81" i="1"/>
  <c r="AO81" i="1"/>
  <c r="T87" i="1"/>
  <c r="AI129" i="1"/>
  <c r="AK129" i="1" s="1"/>
  <c r="D125" i="1"/>
  <c r="AB142" i="1"/>
  <c r="I149" i="1"/>
  <c r="AU149" i="1"/>
  <c r="AW149" i="1" s="1"/>
  <c r="F166" i="1"/>
  <c r="O82" i="1"/>
  <c r="Q82" i="1" s="1"/>
  <c r="Q78" i="1"/>
  <c r="P23" i="1"/>
  <c r="P48" i="1"/>
  <c r="B18" i="1"/>
  <c r="Z32" i="1"/>
  <c r="AB32" i="1" s="1"/>
  <c r="AT35" i="1"/>
  <c r="AV35" i="1" s="1"/>
  <c r="D35" i="1"/>
  <c r="AO47" i="1"/>
  <c r="AN47" i="1"/>
  <c r="AN50" i="1"/>
  <c r="AU51" i="1"/>
  <c r="AW51" i="1" s="1"/>
  <c r="W61" i="1"/>
  <c r="Y61" i="1" s="1"/>
  <c r="H70" i="1"/>
  <c r="J73" i="1"/>
  <c r="L73" i="1" s="1"/>
  <c r="F96" i="1"/>
  <c r="AT88" i="1"/>
  <c r="AV88" i="1" s="1"/>
  <c r="H88" i="1"/>
  <c r="V92" i="1"/>
  <c r="AT97" i="1"/>
  <c r="AV97" i="1" s="1"/>
  <c r="AH106" i="1"/>
  <c r="Z106" i="1"/>
  <c r="AB106" i="1" s="1"/>
  <c r="T118" i="1"/>
  <c r="AU136" i="1"/>
  <c r="AW136" i="1" s="1"/>
  <c r="M154" i="1"/>
  <c r="L154" i="1"/>
  <c r="I160" i="1"/>
  <c r="H160" i="1"/>
  <c r="AN25" i="1"/>
  <c r="O43" i="1"/>
  <c r="Q43" i="1" s="1"/>
  <c r="AT41" i="1"/>
  <c r="AV41" i="1" s="1"/>
  <c r="M57" i="1"/>
  <c r="AA68" i="1"/>
  <c r="AC68" i="1" s="1"/>
  <c r="AB67" i="1"/>
  <c r="AA78" i="1"/>
  <c r="AB78" i="1" s="1"/>
  <c r="AB76" i="1"/>
  <c r="AD82" i="1"/>
  <c r="AF82" i="1" s="1"/>
  <c r="AV93" i="1"/>
  <c r="J96" i="1"/>
  <c r="AA106" i="1"/>
  <c r="AC106" i="1" s="1"/>
  <c r="H126" i="1"/>
  <c r="AC138" i="1"/>
  <c r="AB138" i="1"/>
  <c r="M141" i="1"/>
  <c r="L141" i="1"/>
  <c r="E165" i="1"/>
  <c r="AO156" i="1"/>
  <c r="AN156" i="1"/>
  <c r="AF78" i="1"/>
  <c r="AE82" i="1"/>
  <c r="AG82" i="1" s="1"/>
  <c r="AV90" i="1"/>
  <c r="Z92" i="1"/>
  <c r="X95" i="1"/>
  <c r="AJ111" i="1"/>
  <c r="AH118" i="1"/>
  <c r="AO118" i="1"/>
  <c r="AM130" i="1"/>
  <c r="AO130" i="1" s="1"/>
  <c r="AE160" i="1"/>
  <c r="AG160" i="1" s="1"/>
  <c r="AG158" i="1"/>
  <c r="AF158" i="1"/>
  <c r="V165" i="1"/>
  <c r="X160" i="1"/>
  <c r="I163" i="1"/>
  <c r="H163" i="1"/>
  <c r="AN94" i="1"/>
  <c r="AM96" i="1"/>
  <c r="AO94" i="1"/>
  <c r="P11" i="1"/>
  <c r="AR12" i="1"/>
  <c r="AS13" i="1"/>
  <c r="F18" i="1"/>
  <c r="AN20" i="1"/>
  <c r="X22" i="1"/>
  <c r="AB23" i="1"/>
  <c r="I24" i="1"/>
  <c r="AN24" i="1"/>
  <c r="P27" i="1"/>
  <c r="AJ27" i="1"/>
  <c r="I33" i="1"/>
  <c r="AR37" i="1"/>
  <c r="D39" i="1"/>
  <c r="AB40" i="1"/>
  <c r="D46" i="1"/>
  <c r="L47" i="1"/>
  <c r="AC48" i="1"/>
  <c r="P57" i="1"/>
  <c r="AR59" i="1"/>
  <c r="L62" i="1"/>
  <c r="K64" i="1"/>
  <c r="M64" i="1" s="1"/>
  <c r="X65" i="1"/>
  <c r="AV66" i="1"/>
  <c r="Y71" i="1"/>
  <c r="W73" i="1"/>
  <c r="Y73" i="1" s="1"/>
  <c r="AJ72" i="1"/>
  <c r="S73" i="1"/>
  <c r="U73" i="1" s="1"/>
  <c r="AT76" i="1"/>
  <c r="AV76" i="1" s="1"/>
  <c r="D76" i="1"/>
  <c r="AF76" i="1"/>
  <c r="B78" i="1"/>
  <c r="P79" i="1"/>
  <c r="AO79" i="1"/>
  <c r="Y84" i="1"/>
  <c r="N96" i="1"/>
  <c r="AO115" i="1"/>
  <c r="AN115" i="1"/>
  <c r="AF138" i="1"/>
  <c r="S145" i="1"/>
  <c r="U145" i="1" s="1"/>
  <c r="U140" i="1"/>
  <c r="P141" i="1"/>
  <c r="AR144" i="1"/>
  <c r="AP145" i="1"/>
  <c r="AR145" i="1" s="1"/>
  <c r="G165" i="1"/>
  <c r="I165" i="1" s="1"/>
  <c r="Z166" i="1"/>
  <c r="AT164" i="1"/>
  <c r="D164" i="1"/>
  <c r="H62" i="1"/>
  <c r="G64" i="1"/>
  <c r="I64" i="1" s="1"/>
  <c r="P12" i="1"/>
  <c r="X14" i="1"/>
  <c r="AU22" i="1"/>
  <c r="AW22" i="1" s="1"/>
  <c r="Q36" i="1"/>
  <c r="AQ50" i="1"/>
  <c r="AF52" i="1"/>
  <c r="AO59" i="1"/>
  <c r="AB61" i="1"/>
  <c r="T71" i="1"/>
  <c r="D9" i="1"/>
  <c r="AT10" i="1"/>
  <c r="AV10" i="1" s="1"/>
  <c r="G18" i="1"/>
  <c r="AE18" i="1"/>
  <c r="Y22" i="1"/>
  <c r="Q27" i="1"/>
  <c r="AK27" i="1"/>
  <c r="E46" i="1"/>
  <c r="AU47" i="1"/>
  <c r="AT49" i="1"/>
  <c r="AV49" i="1" s="1"/>
  <c r="P49" i="1"/>
  <c r="Q57" i="1"/>
  <c r="B61" i="1"/>
  <c r="J64" i="1"/>
  <c r="AU76" i="1"/>
  <c r="AJ76" i="1"/>
  <c r="AI78" i="1"/>
  <c r="C78" i="1"/>
  <c r="W96" i="1"/>
  <c r="Z126" i="1"/>
  <c r="AB126" i="1" s="1"/>
  <c r="AV128" i="1"/>
  <c r="AV136" i="1"/>
  <c r="AU142" i="1"/>
  <c r="AC159" i="1"/>
  <c r="AB159" i="1"/>
  <c r="AA160" i="1"/>
  <c r="Q97" i="1"/>
  <c r="AU97" i="1"/>
  <c r="P97" i="1"/>
  <c r="AO120" i="1"/>
  <c r="AN120" i="1"/>
  <c r="AU120" i="1"/>
  <c r="X38" i="1"/>
  <c r="AU57" i="1"/>
  <c r="AW57" i="1" s="1"/>
  <c r="C61" i="1"/>
  <c r="Q62" i="1"/>
  <c r="P62" i="1"/>
  <c r="AO83" i="1"/>
  <c r="AN83" i="1"/>
  <c r="AT91" i="1"/>
  <c r="AV91" i="1" s="1"/>
  <c r="I94" i="1"/>
  <c r="H94" i="1"/>
  <c r="AF106" i="1"/>
  <c r="AW121" i="1"/>
  <c r="AV121" i="1"/>
  <c r="O138" i="1"/>
  <c r="P136" i="1"/>
  <c r="AC143" i="1"/>
  <c r="AB143" i="1"/>
  <c r="U164" i="1"/>
  <c r="S165" i="1"/>
  <c r="AT77" i="1"/>
  <c r="AV77" i="1" s="1"/>
  <c r="H24" i="1"/>
  <c r="AV37" i="1"/>
  <c r="H46" i="1"/>
  <c r="F50" i="1"/>
  <c r="V129" i="1"/>
  <c r="G164" i="1"/>
  <c r="D10" i="1"/>
  <c r="AR11" i="1"/>
  <c r="Y13" i="1"/>
  <c r="X13" i="1"/>
  <c r="V16" i="1"/>
  <c r="AT16" i="1" s="1"/>
  <c r="AT19" i="1"/>
  <c r="AV19" i="1" s="1"/>
  <c r="AA25" i="1"/>
  <c r="AC25" i="1" s="1"/>
  <c r="D23" i="1"/>
  <c r="AF23" i="1"/>
  <c r="AR24" i="1"/>
  <c r="AN33" i="1"/>
  <c r="T37" i="1"/>
  <c r="D40" i="1"/>
  <c r="AF40" i="1"/>
  <c r="AC51" i="1"/>
  <c r="AT59" i="1"/>
  <c r="AV59" i="1" s="1"/>
  <c r="X60" i="1"/>
  <c r="AE61" i="1"/>
  <c r="AG61" i="1" s="1"/>
  <c r="AU62" i="1"/>
  <c r="AW62" i="1" s="1"/>
  <c r="N64" i="1"/>
  <c r="P64" i="1" s="1"/>
  <c r="E67" i="1"/>
  <c r="D67" i="1"/>
  <c r="C68" i="1"/>
  <c r="AU67" i="1"/>
  <c r="AW67" i="1" s="1"/>
  <c r="V82" i="1"/>
  <c r="X82" i="1" s="1"/>
  <c r="H76" i="1"/>
  <c r="AM78" i="1"/>
  <c r="AO76" i="1"/>
  <c r="AN76" i="1"/>
  <c r="G78" i="1"/>
  <c r="AU94" i="1"/>
  <c r="AA96" i="1"/>
  <c r="AT99" i="1"/>
  <c r="AP129" i="1"/>
  <c r="AR129" i="1" s="1"/>
  <c r="AE147" i="1"/>
  <c r="AG147" i="1" s="1"/>
  <c r="AF134" i="1"/>
  <c r="Q136" i="1"/>
  <c r="I142" i="1"/>
  <c r="M156" i="1"/>
  <c r="K165" i="1"/>
  <c r="M165" i="1" s="1"/>
  <c r="AU156" i="1"/>
  <c r="AW156" i="1" s="1"/>
  <c r="M93" i="1"/>
  <c r="L93" i="1"/>
  <c r="E10" i="1"/>
  <c r="W16" i="1"/>
  <c r="Y16" i="1" s="1"/>
  <c r="U49" i="1"/>
  <c r="T49" i="1"/>
  <c r="B50" i="1"/>
  <c r="O64" i="1"/>
  <c r="Q64" i="1" s="1"/>
  <c r="H67" i="1"/>
  <c r="F68" i="1"/>
  <c r="H68" i="1" s="1"/>
  <c r="AJ92" i="1"/>
  <c r="C106" i="1"/>
  <c r="E99" i="1"/>
  <c r="AU99" i="1"/>
  <c r="AW99" i="1" s="1"/>
  <c r="AT100" i="1"/>
  <c r="AV100" i="1" s="1"/>
  <c r="I105" i="1"/>
  <c r="H105" i="1"/>
  <c r="AH107" i="1"/>
  <c r="W129" i="1"/>
  <c r="Y129" i="1" s="1"/>
  <c r="I121" i="1"/>
  <c r="H121" i="1"/>
  <c r="W126" i="1"/>
  <c r="Y126" i="1" s="1"/>
  <c r="Y125" i="1"/>
  <c r="X125" i="1"/>
  <c r="S129" i="1"/>
  <c r="U129" i="1" s="1"/>
  <c r="AO133" i="1"/>
  <c r="AM134" i="1"/>
  <c r="AN133" i="1"/>
  <c r="AE145" i="1"/>
  <c r="AG145" i="1" s="1"/>
  <c r="AS142" i="1"/>
  <c r="AR142" i="1"/>
  <c r="P145" i="1"/>
  <c r="P164" i="1"/>
  <c r="AM165" i="1"/>
  <c r="AF129" i="1"/>
  <c r="AK11" i="1"/>
  <c r="AF9" i="1"/>
  <c r="AT11" i="1"/>
  <c r="AV11" i="1" s="1"/>
  <c r="AB13" i="1"/>
  <c r="D22" i="1"/>
  <c r="AJ23" i="1"/>
  <c r="P24" i="1"/>
  <c r="K32" i="1"/>
  <c r="M32" i="1" s="1"/>
  <c r="P33" i="1"/>
  <c r="W43" i="1"/>
  <c r="Y43" i="1" s="1"/>
  <c r="AQ43" i="1"/>
  <c r="AS43" i="1" s="1"/>
  <c r="AB42" i="1"/>
  <c r="M46" i="1"/>
  <c r="L46" i="1"/>
  <c r="T47" i="1"/>
  <c r="C50" i="1"/>
  <c r="AF51" i="1"/>
  <c r="AN52" i="1"/>
  <c r="V85" i="1"/>
  <c r="X57" i="1"/>
  <c r="F61" i="1"/>
  <c r="AJ63" i="1"/>
  <c r="T68" i="1"/>
  <c r="L74" i="1"/>
  <c r="AS76" i="1"/>
  <c r="AQ78" i="1"/>
  <c r="T79" i="1"/>
  <c r="AR83" i="1"/>
  <c r="H89" i="1"/>
  <c r="AT89" i="1"/>
  <c r="AV89" i="1" s="1"/>
  <c r="Y93" i="1"/>
  <c r="AC97" i="1"/>
  <c r="AB97" i="1"/>
  <c r="AI106" i="1"/>
  <c r="AK106" i="1" s="1"/>
  <c r="AK99" i="1"/>
  <c r="AJ99" i="1"/>
  <c r="K129" i="1"/>
  <c r="M129" i="1" s="1"/>
  <c r="AU122" i="1"/>
  <c r="AW122" i="1" s="1"/>
  <c r="AV123" i="1"/>
  <c r="AC126" i="1"/>
  <c r="AA129" i="1"/>
  <c r="AC129" i="1" s="1"/>
  <c r="Q128" i="1"/>
  <c r="P128" i="1"/>
  <c r="AU128" i="1"/>
  <c r="AW128" i="1" s="1"/>
  <c r="AT133" i="1"/>
  <c r="H133" i="1"/>
  <c r="F134" i="1"/>
  <c r="AV139" i="1"/>
  <c r="O145" i="1"/>
  <c r="Q145" i="1" s="1"/>
  <c r="AP165" i="1"/>
  <c r="AR160" i="1"/>
  <c r="T164" i="1"/>
  <c r="H9" i="1"/>
  <c r="E16" i="1"/>
  <c r="E22" i="1"/>
  <c r="D38" i="1"/>
  <c r="AF39" i="1"/>
  <c r="B43" i="1"/>
  <c r="O50" i="1"/>
  <c r="P50" i="1" s="1"/>
  <c r="T70" i="1"/>
  <c r="Z147" i="1"/>
  <c r="AU143" i="1"/>
  <c r="AW143" i="1" s="1"/>
  <c r="X144" i="1"/>
  <c r="V145" i="1"/>
  <c r="AU159" i="1"/>
  <c r="U111" i="1"/>
  <c r="S118" i="1"/>
  <c r="U118" i="1" s="1"/>
  <c r="U84" i="1"/>
  <c r="T84" i="1"/>
  <c r="AF14" i="1"/>
  <c r="AE25" i="1"/>
  <c r="AG25" i="1" s="1"/>
  <c r="AL32" i="1"/>
  <c r="AN32" i="1" s="1"/>
  <c r="AR33" i="1"/>
  <c r="H40" i="1"/>
  <c r="X49" i="1"/>
  <c r="AT58" i="1"/>
  <c r="AV58" i="1" s="1"/>
  <c r="AG65" i="1"/>
  <c r="AF71" i="1"/>
  <c r="X81" i="1"/>
  <c r="AK84" i="1"/>
  <c r="G92" i="1"/>
  <c r="AU89" i="1"/>
  <c r="AI92" i="1"/>
  <c r="AK89" i="1"/>
  <c r="D96" i="1"/>
  <c r="AJ95" i="1"/>
  <c r="AL96" i="1"/>
  <c r="I99" i="1"/>
  <c r="G106" i="1"/>
  <c r="H99" i="1"/>
  <c r="AU112" i="1"/>
  <c r="AW112" i="1" s="1"/>
  <c r="AS112" i="1"/>
  <c r="AR112" i="1"/>
  <c r="AT134" i="1"/>
  <c r="AB21" i="1"/>
  <c r="AU33" i="1"/>
  <c r="AW33" i="1" s="1"/>
  <c r="AT36" i="1"/>
  <c r="Y36" i="1"/>
  <c r="AS36" i="1"/>
  <c r="P46" i="1"/>
  <c r="AO48" i="1"/>
  <c r="AL64" i="1"/>
  <c r="AN64" i="1" s="1"/>
  <c r="AN63" i="1"/>
  <c r="M67" i="1"/>
  <c r="L67" i="1"/>
  <c r="AT72" i="1"/>
  <c r="AV72" i="1" s="1"/>
  <c r="K78" i="1"/>
  <c r="I89" i="1"/>
  <c r="P111" i="1"/>
  <c r="AT111" i="1"/>
  <c r="AV111" i="1" s="1"/>
  <c r="AV112" i="1"/>
  <c r="AG114" i="1"/>
  <c r="AF114" i="1"/>
  <c r="AN126" i="1"/>
  <c r="AM129" i="1"/>
  <c r="AO129" i="1" s="1"/>
  <c r="I138" i="1"/>
  <c r="H138" i="1"/>
  <c r="C32" i="1"/>
  <c r="AK36" i="1"/>
  <c r="AU39" i="1"/>
  <c r="AW39" i="1" s="1"/>
  <c r="P59" i="1"/>
  <c r="N61" i="1"/>
  <c r="AJ18" i="1"/>
  <c r="AT8" i="1"/>
  <c r="AV8" i="1" s="1"/>
  <c r="AF8" i="1"/>
  <c r="C43" i="1"/>
  <c r="E36" i="1"/>
  <c r="AU36" i="1"/>
  <c r="AW36" i="1" s="1"/>
  <c r="AS48" i="1"/>
  <c r="AR48" i="1"/>
  <c r="G50" i="1"/>
  <c r="AC57" i="1"/>
  <c r="AB57" i="1"/>
  <c r="AB59" i="1"/>
  <c r="X68" i="1"/>
  <c r="AU71" i="1"/>
  <c r="AW71" i="1" s="1"/>
  <c r="AJ73" i="1"/>
  <c r="AE126" i="1"/>
  <c r="AG126" i="1" s="1"/>
  <c r="AG125" i="1"/>
  <c r="AF125" i="1"/>
  <c r="AW127" i="1"/>
  <c r="AT135" i="1"/>
  <c r="AV135" i="1" s="1"/>
  <c r="R106" i="1"/>
  <c r="T106" i="1" s="1"/>
  <c r="T99" i="1"/>
  <c r="AR106" i="1"/>
  <c r="N129" i="1"/>
  <c r="P129" i="1" s="1"/>
  <c r="C129" i="1"/>
  <c r="C130" i="1" s="1"/>
  <c r="AQ145" i="1"/>
  <c r="AS145" i="1" s="1"/>
  <c r="B154" i="1"/>
  <c r="AT153" i="1"/>
  <c r="AV153" i="1" s="1"/>
  <c r="AG154" i="1"/>
  <c r="AF154" i="1"/>
  <c r="I158" i="1"/>
  <c r="AU158" i="1"/>
  <c r="AW158" i="1" s="1"/>
  <c r="AE96" i="1"/>
  <c r="AF96" i="1" s="1"/>
  <c r="S106" i="1"/>
  <c r="U106" i="1" s="1"/>
  <c r="AF101" i="1"/>
  <c r="I109" i="1"/>
  <c r="AU109" i="1"/>
  <c r="AW109" i="1" s="1"/>
  <c r="U113" i="1"/>
  <c r="T113" i="1"/>
  <c r="AV117" i="1"/>
  <c r="P119" i="1"/>
  <c r="Q121" i="1"/>
  <c r="P121" i="1"/>
  <c r="R147" i="1"/>
  <c r="AR140" i="1"/>
  <c r="D153" i="1"/>
  <c r="W165" i="1"/>
  <c r="Y165" i="1" s="1"/>
  <c r="H158" i="1"/>
  <c r="AJ159" i="1"/>
  <c r="AT159" i="1"/>
  <c r="AV159" i="1" s="1"/>
  <c r="AH160" i="1"/>
  <c r="AN160" i="1"/>
  <c r="X87" i="1"/>
  <c r="S96" i="1"/>
  <c r="U92" i="1"/>
  <c r="AK94" i="1"/>
  <c r="AJ94" i="1"/>
  <c r="H103" i="1"/>
  <c r="N118" i="1"/>
  <c r="AJ122" i="1"/>
  <c r="AH129" i="1"/>
  <c r="L126" i="1"/>
  <c r="W147" i="1"/>
  <c r="Y147" i="1" s="1"/>
  <c r="AM138" i="1"/>
  <c r="AU138" i="1" s="1"/>
  <c r="K145" i="1"/>
  <c r="M145" i="1" s="1"/>
  <c r="AF145" i="1"/>
  <c r="AG156" i="1"/>
  <c r="AF156" i="1"/>
  <c r="P73" i="1"/>
  <c r="AK112" i="1"/>
  <c r="AJ112" i="1"/>
  <c r="Z129" i="1"/>
  <c r="AB129" i="1" s="1"/>
  <c r="Y128" i="1"/>
  <c r="X128" i="1"/>
  <c r="AN129" i="1"/>
  <c r="AC134" i="1"/>
  <c r="AB134" i="1"/>
  <c r="M136" i="1"/>
  <c r="L136" i="1"/>
  <c r="AK138" i="1"/>
  <c r="AI147" i="1"/>
  <c r="AK147" i="1" s="1"/>
  <c r="AV143" i="1"/>
  <c r="AJ145" i="1"/>
  <c r="AG164" i="1"/>
  <c r="AF164" i="1"/>
  <c r="AD107" i="1"/>
  <c r="AE106" i="1"/>
  <c r="AG106" i="1" s="1"/>
  <c r="AC109" i="1"/>
  <c r="AB109" i="1"/>
  <c r="AU116" i="1"/>
  <c r="AW116" i="1" s="1"/>
  <c r="O129" i="1"/>
  <c r="Q129" i="1" s="1"/>
  <c r="AT124" i="1"/>
  <c r="AV124" i="1" s="1"/>
  <c r="T124" i="1"/>
  <c r="R126" i="1"/>
  <c r="R145" i="1"/>
  <c r="T140" i="1"/>
  <c r="AU144" i="1"/>
  <c r="E144" i="1"/>
  <c r="B165" i="1"/>
  <c r="D160" i="1"/>
  <c r="AN164" i="1"/>
  <c r="E97" i="1"/>
  <c r="D97" i="1"/>
  <c r="E102" i="1"/>
  <c r="AU102" i="1"/>
  <c r="AW102" i="1" s="1"/>
  <c r="AT104" i="1"/>
  <c r="AV104" i="1" s="1"/>
  <c r="AT105" i="1"/>
  <c r="AV113" i="1"/>
  <c r="C147" i="1"/>
  <c r="AA145" i="1"/>
  <c r="AC145" i="1" s="1"/>
  <c r="E142" i="1"/>
  <c r="D142" i="1"/>
  <c r="C145" i="1"/>
  <c r="E164" i="1"/>
  <c r="P19" i="1"/>
  <c r="D57" i="1"/>
  <c r="Q81" i="1"/>
  <c r="AF93" i="1"/>
  <c r="J106" i="1"/>
  <c r="L106" i="1" s="1"/>
  <c r="AI130" i="1"/>
  <c r="AK130" i="1" s="1"/>
  <c r="AK109" i="1"/>
  <c r="AJ109" i="1"/>
  <c r="AU113" i="1"/>
  <c r="AW113" i="1" s="1"/>
  <c r="AU114" i="1"/>
  <c r="AW114" i="1" s="1"/>
  <c r="AR116" i="1"/>
  <c r="Q126" i="1"/>
  <c r="P126" i="1"/>
  <c r="AL147" i="1"/>
  <c r="AT137" i="1"/>
  <c r="AV137" i="1" s="1"/>
  <c r="J138" i="1"/>
  <c r="L138" i="1" s="1"/>
  <c r="L137" i="1"/>
  <c r="I146" i="1"/>
  <c r="AU146" i="1"/>
  <c r="AU104" i="1"/>
  <c r="AU115" i="1"/>
  <c r="AU133" i="1"/>
  <c r="AW133" i="1" s="1"/>
  <c r="AU137" i="1"/>
  <c r="AT161" i="1"/>
  <c r="AV161" i="1" s="1"/>
  <c r="AO163" i="1"/>
  <c r="AU101" i="1"/>
  <c r="AW101" i="1" s="1"/>
  <c r="AR109" i="1"/>
  <c r="AB110" i="1"/>
  <c r="AU111" i="1"/>
  <c r="D114" i="1"/>
  <c r="F118" i="1"/>
  <c r="AT120" i="1"/>
  <c r="AV120" i="1" s="1"/>
  <c r="AN125" i="1"/>
  <c r="F129" i="1"/>
  <c r="T134" i="1"/>
  <c r="AB140" i="1"/>
  <c r="X154" i="1"/>
  <c r="AR154" i="1"/>
  <c r="P158" i="1"/>
  <c r="AO158" i="1"/>
  <c r="O160" i="1"/>
  <c r="Q160" i="1" s="1"/>
  <c r="AI160" i="1"/>
  <c r="AK160" i="1" s="1"/>
  <c r="P163" i="1"/>
  <c r="O164" i="1"/>
  <c r="Q164" i="1" s="1"/>
  <c r="S166" i="1"/>
  <c r="U166" i="1" s="1"/>
  <c r="G118" i="1"/>
  <c r="I118" i="1" s="1"/>
  <c r="AA118" i="1"/>
  <c r="AC118" i="1" s="1"/>
  <c r="S130" i="1"/>
  <c r="U130" i="1" s="1"/>
  <c r="E154" i="1"/>
  <c r="Y154" i="1"/>
  <c r="AS154" i="1"/>
  <c r="AR102" i="1"/>
  <c r="T109" i="1"/>
  <c r="AB112" i="1"/>
  <c r="D113" i="1"/>
  <c r="L124" i="1"/>
  <c r="P125" i="1"/>
  <c r="E136" i="1"/>
  <c r="H140" i="1"/>
  <c r="AT141" i="1"/>
  <c r="X156" i="1"/>
  <c r="AR158" i="1"/>
  <c r="Y89" i="1"/>
  <c r="AU95" i="1"/>
  <c r="AW95" i="1" s="1"/>
  <c r="D99" i="1"/>
  <c r="X105" i="1"/>
  <c r="AL106" i="1"/>
  <c r="E113" i="1"/>
  <c r="AU141" i="1"/>
  <c r="AW141" i="1" s="1"/>
  <c r="AU154" i="1"/>
  <c r="AW154" i="1" s="1"/>
  <c r="AU105" i="1"/>
  <c r="AW105" i="1" s="1"/>
  <c r="AM106" i="1"/>
  <c r="AO106" i="1" s="1"/>
  <c r="D112" i="1"/>
  <c r="AB115" i="1"/>
  <c r="E116" i="1"/>
  <c r="AF116" i="1"/>
  <c r="AJ117" i="1"/>
  <c r="AD118" i="1"/>
  <c r="E122" i="1"/>
  <c r="AT122" i="1"/>
  <c r="L127" i="1"/>
  <c r="AJ127" i="1"/>
  <c r="AB133" i="1"/>
  <c r="D134" i="1"/>
  <c r="H136" i="1"/>
  <c r="AF136" i="1"/>
  <c r="D138" i="1"/>
  <c r="AG140" i="1"/>
  <c r="AB141" i="1"/>
  <c r="AN142" i="1"/>
  <c r="P143" i="1"/>
  <c r="AT146" i="1"/>
  <c r="AV146" i="1" s="1"/>
  <c r="AT148" i="1"/>
  <c r="AV148" i="1" s="1"/>
  <c r="U158" i="1"/>
  <c r="AT158" i="1"/>
  <c r="D162" i="1"/>
  <c r="U163" i="1"/>
  <c r="AU163" i="1"/>
  <c r="AW163" i="1" s="1"/>
  <c r="AM164" i="1"/>
  <c r="AO164" i="1" s="1"/>
  <c r="E112" i="1"/>
  <c r="K118" i="1"/>
  <c r="AE118" i="1"/>
  <c r="L128" i="1"/>
  <c r="AE129" i="1"/>
  <c r="AG129" i="1" s="1"/>
  <c r="D133" i="1"/>
  <c r="E134" i="1"/>
  <c r="Y134" i="1"/>
  <c r="AS134" i="1"/>
  <c r="H137" i="1"/>
  <c r="G145" i="1"/>
  <c r="H145" i="1" s="1"/>
  <c r="I154" i="1"/>
  <c r="AC154" i="1"/>
  <c r="E121" i="1"/>
  <c r="AR124" i="1"/>
  <c r="U125" i="1"/>
  <c r="X158" i="1"/>
  <c r="W106" i="1"/>
  <c r="Y106" i="1" s="1"/>
  <c r="AQ106" i="1"/>
  <c r="AS106" i="1" s="1"/>
  <c r="AN113" i="1"/>
  <c r="H115" i="1"/>
  <c r="L116" i="1"/>
  <c r="P117" i="1"/>
  <c r="O118" i="1"/>
  <c r="Q118" i="1" s="1"/>
  <c r="AI118" i="1"/>
  <c r="AK118" i="1" s="1"/>
  <c r="AJ121" i="1"/>
  <c r="B126" i="1"/>
  <c r="AJ135" i="1"/>
  <c r="AJ137" i="1"/>
  <c r="AN140" i="1"/>
  <c r="AB146" i="1"/>
  <c r="AF89" i="1"/>
  <c r="AF99" i="1"/>
  <c r="AK137" i="1"/>
  <c r="AO140" i="1"/>
  <c r="G126" i="1"/>
  <c r="I126" i="1" s="1"/>
  <c r="N138" i="1"/>
  <c r="AH138" i="1"/>
  <c r="AT140" i="1"/>
  <c r="AV140" i="1" s="1"/>
  <c r="J160" i="1"/>
  <c r="AR104" i="1"/>
  <c r="P105" i="1"/>
  <c r="L109" i="1"/>
  <c r="T112" i="1"/>
  <c r="T114" i="1"/>
  <c r="AR115" i="1"/>
  <c r="B118" i="1"/>
  <c r="V118" i="1"/>
  <c r="AP118" i="1"/>
  <c r="H125" i="1"/>
  <c r="AV131" i="1"/>
  <c r="AR133" i="1"/>
  <c r="P134" i="1"/>
  <c r="AJ134" i="1"/>
  <c r="T137" i="1"/>
  <c r="AR137" i="1"/>
  <c r="T141" i="1"/>
  <c r="AN141" i="1"/>
  <c r="L142" i="1"/>
  <c r="AF142" i="1"/>
  <c r="T154" i="1"/>
  <c r="AN154" i="1"/>
  <c r="P156" i="1"/>
  <c r="AJ158" i="1"/>
  <c r="L159" i="1"/>
  <c r="K160" i="1"/>
  <c r="M160" i="1" s="1"/>
  <c r="K164" i="1"/>
  <c r="AQ165" i="1"/>
  <c r="AS165" i="1" s="1"/>
  <c r="AN109" i="1"/>
  <c r="X113" i="1"/>
  <c r="W118" i="1"/>
  <c r="Y118" i="1" s="1"/>
  <c r="AQ118" i="1"/>
  <c r="AS118" i="1" s="1"/>
  <c r="T121" i="1"/>
  <c r="AF124" i="1"/>
  <c r="AJ125" i="1"/>
  <c r="AB128" i="1"/>
  <c r="X140" i="1"/>
  <c r="AF143" i="1"/>
  <c r="L146" i="1"/>
  <c r="AR156" i="1"/>
  <c r="L163" i="1"/>
  <c r="D104" i="1"/>
  <c r="AV92" i="1" l="1"/>
  <c r="N54" i="1"/>
  <c r="H129" i="1"/>
  <c r="AO165" i="1"/>
  <c r="AN165" i="1"/>
  <c r="F130" i="1"/>
  <c r="H118" i="1"/>
  <c r="AB118" i="1"/>
  <c r="AA147" i="1"/>
  <c r="AC147" i="1" s="1"/>
  <c r="AC50" i="1"/>
  <c r="AB50" i="1"/>
  <c r="AA52" i="1"/>
  <c r="L43" i="1"/>
  <c r="J147" i="1"/>
  <c r="L147" i="1" s="1"/>
  <c r="AW26" i="1"/>
  <c r="M164" i="1"/>
  <c r="L164" i="1"/>
  <c r="D118" i="1"/>
  <c r="AT118" i="1"/>
  <c r="AV118" i="1" s="1"/>
  <c r="D126" i="1"/>
  <c r="AT126" i="1"/>
  <c r="AV105" i="1"/>
  <c r="S107" i="1"/>
  <c r="U107" i="1" s="1"/>
  <c r="U96" i="1"/>
  <c r="Z130" i="1"/>
  <c r="AB130" i="1" s="1"/>
  <c r="I106" i="1"/>
  <c r="H106" i="1"/>
  <c r="C52" i="1"/>
  <c r="E50" i="1"/>
  <c r="AU50" i="1"/>
  <c r="W166" i="1"/>
  <c r="Y166" i="1" s="1"/>
  <c r="I164" i="1"/>
  <c r="H164" i="1"/>
  <c r="AU164" i="1"/>
  <c r="AW164" i="1" s="1"/>
  <c r="AV142" i="1"/>
  <c r="AW142" i="1"/>
  <c r="AV164" i="1"/>
  <c r="AQ166" i="1"/>
  <c r="AS166" i="1" s="1"/>
  <c r="X106" i="1"/>
  <c r="AV51" i="1"/>
  <c r="T61" i="1"/>
  <c r="R85" i="1"/>
  <c r="AV149" i="1"/>
  <c r="R54" i="1"/>
  <c r="AT32" i="1"/>
  <c r="AV32" i="1" s="1"/>
  <c r="P78" i="1"/>
  <c r="N82" i="1"/>
  <c r="P82" i="1" s="1"/>
  <c r="AW111" i="1"/>
  <c r="D43" i="1"/>
  <c r="AT43" i="1"/>
  <c r="H64" i="1"/>
  <c r="AU43" i="1"/>
  <c r="AW43" i="1" s="1"/>
  <c r="E43" i="1"/>
  <c r="X129" i="1"/>
  <c r="P43" i="1"/>
  <c r="AA130" i="1"/>
  <c r="AC130" i="1" s="1"/>
  <c r="N85" i="1"/>
  <c r="P61" i="1"/>
  <c r="AN96" i="1"/>
  <c r="AL107" i="1"/>
  <c r="K166" i="1"/>
  <c r="T92" i="1"/>
  <c r="R96" i="1"/>
  <c r="AT25" i="1"/>
  <c r="D25" i="1"/>
  <c r="AH82" i="1"/>
  <c r="AJ78" i="1"/>
  <c r="W130" i="1"/>
  <c r="Y130" i="1" s="1"/>
  <c r="AE165" i="1"/>
  <c r="E106" i="1"/>
  <c r="AU106" i="1"/>
  <c r="I18" i="1"/>
  <c r="G53" i="1"/>
  <c r="X52" i="1"/>
  <c r="AU126" i="1"/>
  <c r="AW126" i="1" s="1"/>
  <c r="E126" i="1"/>
  <c r="AF64" i="1"/>
  <c r="AP147" i="1"/>
  <c r="AR147" i="1" s="1"/>
  <c r="AR138" i="1"/>
  <c r="AW59" i="1"/>
  <c r="AL85" i="1"/>
  <c r="AF25" i="1"/>
  <c r="AP54" i="1"/>
  <c r="AV57" i="1"/>
  <c r="S82" i="1"/>
  <c r="U82" i="1" s="1"/>
  <c r="U78" i="1"/>
  <c r="K82" i="1"/>
  <c r="M82" i="1" s="1"/>
  <c r="M78" i="1"/>
  <c r="F52" i="1"/>
  <c r="H52" i="1" s="1"/>
  <c r="H50" i="1"/>
  <c r="AG18" i="1"/>
  <c r="AE53" i="1"/>
  <c r="AV156" i="1"/>
  <c r="AW125" i="1"/>
  <c r="AV125" i="1"/>
  <c r="AM166" i="1"/>
  <c r="AH165" i="1"/>
  <c r="AJ160" i="1"/>
  <c r="AF126" i="1"/>
  <c r="E118" i="1"/>
  <c r="S147" i="1"/>
  <c r="U147" i="1" s="1"/>
  <c r="AV84" i="1"/>
  <c r="AT64" i="1"/>
  <c r="D64" i="1"/>
  <c r="J53" i="1"/>
  <c r="AD85" i="1"/>
  <c r="O96" i="1"/>
  <c r="Q92" i="1"/>
  <c r="T82" i="1"/>
  <c r="U61" i="1"/>
  <c r="S85" i="1"/>
  <c r="AW47" i="1"/>
  <c r="AV47" i="1"/>
  <c r="AK53" i="1"/>
  <c r="AI54" i="1"/>
  <c r="AE107" i="1"/>
  <c r="AG107" i="1" s="1"/>
  <c r="AG96" i="1"/>
  <c r="T73" i="1"/>
  <c r="AU160" i="1"/>
  <c r="AF61" i="1"/>
  <c r="H18" i="1"/>
  <c r="AJ61" i="1"/>
  <c r="AH85" i="1"/>
  <c r="K18" i="1"/>
  <c r="L18" i="1" s="1"/>
  <c r="K52" i="1"/>
  <c r="L50" i="1"/>
  <c r="M50" i="1"/>
  <c r="AW14" i="1"/>
  <c r="AV14" i="1"/>
  <c r="L160" i="1"/>
  <c r="J165" i="1"/>
  <c r="AE85" i="1"/>
  <c r="AW159" i="1"/>
  <c r="W85" i="1"/>
  <c r="AA107" i="1"/>
  <c r="AC107" i="1" s="1"/>
  <c r="AC96" i="1"/>
  <c r="E61" i="1"/>
  <c r="AU61" i="1"/>
  <c r="W107" i="1"/>
  <c r="Y107" i="1" s="1"/>
  <c r="Y96" i="1"/>
  <c r="Y18" i="1"/>
  <c r="W53" i="1"/>
  <c r="X73" i="1"/>
  <c r="AW60" i="1"/>
  <c r="AM53" i="1"/>
  <c r="AO18" i="1"/>
  <c r="X165" i="1"/>
  <c r="V166" i="1"/>
  <c r="X166" i="1" s="1"/>
  <c r="AN106" i="1"/>
  <c r="D18" i="1"/>
  <c r="B53" i="1"/>
  <c r="AT18" i="1"/>
  <c r="E18" i="1"/>
  <c r="AF160" i="1"/>
  <c r="AH130" i="1"/>
  <c r="AJ130" i="1" s="1"/>
  <c r="AJ118" i="1"/>
  <c r="AV70" i="1"/>
  <c r="AU25" i="1"/>
  <c r="AW25" i="1" s="1"/>
  <c r="K130" i="1"/>
  <c r="M118" i="1"/>
  <c r="AW137" i="1"/>
  <c r="O165" i="1"/>
  <c r="AV122" i="1"/>
  <c r="AV141" i="1"/>
  <c r="AT160" i="1"/>
  <c r="AV160" i="1" s="1"/>
  <c r="AI96" i="1"/>
  <c r="AK92" i="1"/>
  <c r="H134" i="1"/>
  <c r="F147" i="1"/>
  <c r="AW94" i="1"/>
  <c r="AV94" i="1"/>
  <c r="U165" i="1"/>
  <c r="T165" i="1"/>
  <c r="E78" i="1"/>
  <c r="AU78" i="1"/>
  <c r="AW78" i="1" s="1"/>
  <c r="C82" i="1"/>
  <c r="Z85" i="1"/>
  <c r="O130" i="1"/>
  <c r="Q130" i="1" s="1"/>
  <c r="AJ106" i="1"/>
  <c r="AV71" i="1"/>
  <c r="AF18" i="1"/>
  <c r="AD53" i="1"/>
  <c r="AN18" i="1"/>
  <c r="AL53" i="1"/>
  <c r="I61" i="1"/>
  <c r="G85" i="1"/>
  <c r="T50" i="1"/>
  <c r="U50" i="1"/>
  <c r="S52" i="1"/>
  <c r="AT138" i="1"/>
  <c r="AV138" i="1" s="1"/>
  <c r="AN147" i="1"/>
  <c r="D78" i="1"/>
  <c r="AT78" i="1"/>
  <c r="B82" i="1"/>
  <c r="AS68" i="1"/>
  <c r="AR68" i="1"/>
  <c r="AU118" i="1"/>
  <c r="E32" i="1"/>
  <c r="AU32" i="1"/>
  <c r="AV99" i="1"/>
  <c r="AJ138" i="1"/>
  <c r="AH147" i="1"/>
  <c r="AJ147" i="1" s="1"/>
  <c r="AO138" i="1"/>
  <c r="AN138" i="1"/>
  <c r="AW89" i="1"/>
  <c r="AV24" i="1"/>
  <c r="AW27" i="1"/>
  <c r="AV27" i="1"/>
  <c r="AS78" i="1"/>
  <c r="AQ82" i="1"/>
  <c r="AS82" i="1" s="1"/>
  <c r="AA82" i="1"/>
  <c r="AC78" i="1"/>
  <c r="AV67" i="1"/>
  <c r="AS50" i="1"/>
  <c r="AQ52" i="1"/>
  <c r="AR50" i="1"/>
  <c r="AQ130" i="1"/>
  <c r="AS130" i="1" s="1"/>
  <c r="AV38" i="1"/>
  <c r="AW12" i="1"/>
  <c r="AW41" i="1"/>
  <c r="AW144" i="1"/>
  <c r="AJ129" i="1"/>
  <c r="B166" i="1"/>
  <c r="AT154" i="1"/>
  <c r="AV154" i="1" s="1"/>
  <c r="D154" i="1"/>
  <c r="AV36" i="1"/>
  <c r="B129" i="1"/>
  <c r="AM82" i="1"/>
  <c r="AO78" i="1"/>
  <c r="L64" i="1"/>
  <c r="AV102" i="1"/>
  <c r="AT68" i="1"/>
  <c r="C107" i="1"/>
  <c r="E96" i="1"/>
  <c r="AV101" i="1"/>
  <c r="X126" i="1"/>
  <c r="AR43" i="1"/>
  <c r="AW10" i="1"/>
  <c r="AV79" i="1"/>
  <c r="AV13" i="1"/>
  <c r="T126" i="1"/>
  <c r="R129" i="1"/>
  <c r="D106" i="1"/>
  <c r="AT106" i="1"/>
  <c r="AV106" i="1" s="1"/>
  <c r="I145" i="1"/>
  <c r="G147" i="1"/>
  <c r="I147" i="1" s="1"/>
  <c r="X61" i="1"/>
  <c r="J150" i="1"/>
  <c r="X118" i="1"/>
  <c r="V130" i="1"/>
  <c r="AV114" i="1"/>
  <c r="AW49" i="1"/>
  <c r="AG118" i="1"/>
  <c r="AE130" i="1"/>
  <c r="AG130" i="1" s="1"/>
  <c r="D165" i="1"/>
  <c r="G82" i="1"/>
  <c r="I82" i="1" s="1"/>
  <c r="I78" i="1"/>
  <c r="AN118" i="1"/>
  <c r="AL130" i="1"/>
  <c r="AN130" i="1" s="1"/>
  <c r="P138" i="1"/>
  <c r="N147" i="1"/>
  <c r="P147" i="1" s="1"/>
  <c r="AW104" i="1"/>
  <c r="AW120" i="1"/>
  <c r="AW146" i="1"/>
  <c r="AU145" i="1"/>
  <c r="AW145" i="1" s="1"/>
  <c r="E145" i="1"/>
  <c r="T147" i="1"/>
  <c r="L145" i="1"/>
  <c r="G52" i="1"/>
  <c r="I52" i="1" s="1"/>
  <c r="I50" i="1"/>
  <c r="AV116" i="1"/>
  <c r="AB145" i="1"/>
  <c r="G129" i="1"/>
  <c r="AU129" i="1" s="1"/>
  <c r="Q138" i="1"/>
  <c r="O147" i="1"/>
  <c r="Q147" i="1" s="1"/>
  <c r="B85" i="1"/>
  <c r="D61" i="1"/>
  <c r="AT61" i="1"/>
  <c r="AV61" i="1" s="1"/>
  <c r="P96" i="1"/>
  <c r="N107" i="1"/>
  <c r="D32" i="1"/>
  <c r="F107" i="1"/>
  <c r="H165" i="1"/>
  <c r="AA53" i="1"/>
  <c r="AN43" i="1"/>
  <c r="K107" i="1"/>
  <c r="M107" i="1" s="1"/>
  <c r="M96" i="1"/>
  <c r="AW100" i="1"/>
  <c r="AW9" i="1"/>
  <c r="O85" i="1"/>
  <c r="AJ25" i="1"/>
  <c r="AV81" i="1"/>
  <c r="AB18" i="1"/>
  <c r="Z53" i="1"/>
  <c r="E68" i="1"/>
  <c r="AU68" i="1"/>
  <c r="AW68" i="1" s="1"/>
  <c r="D68" i="1"/>
  <c r="AC160" i="1"/>
  <c r="AB160" i="1"/>
  <c r="AU64" i="1"/>
  <c r="AW64" i="1" s="1"/>
  <c r="E64" i="1"/>
  <c r="B147" i="1"/>
  <c r="AT145" i="1"/>
  <c r="D145" i="1"/>
  <c r="AR118" i="1"/>
  <c r="AP130" i="1"/>
  <c r="AR130" i="1" s="1"/>
  <c r="AA165" i="1"/>
  <c r="AR165" i="1"/>
  <c r="AP166" i="1"/>
  <c r="L96" i="1"/>
  <c r="J107" i="1"/>
  <c r="AJ53" i="1"/>
  <c r="AH54" i="1"/>
  <c r="AM147" i="1"/>
  <c r="AO147" i="1" s="1"/>
  <c r="AO134" i="1"/>
  <c r="AN134" i="1"/>
  <c r="AU134" i="1"/>
  <c r="AW134" i="1" s="1"/>
  <c r="AW115" i="1"/>
  <c r="AV115" i="1"/>
  <c r="V147" i="1"/>
  <c r="X147" i="1" s="1"/>
  <c r="X145" i="1"/>
  <c r="AI82" i="1"/>
  <c r="AK78" i="1"/>
  <c r="AF118" i="1"/>
  <c r="AD130" i="1"/>
  <c r="AF130" i="1" s="1"/>
  <c r="G96" i="1"/>
  <c r="I92" i="1"/>
  <c r="AV133" i="1"/>
  <c r="AT50" i="1"/>
  <c r="AV50" i="1" s="1"/>
  <c r="D50" i="1"/>
  <c r="B52" i="1"/>
  <c r="Z96" i="1"/>
  <c r="AB92" i="1"/>
  <c r="V96" i="1"/>
  <c r="X92" i="1"/>
  <c r="AT73" i="1"/>
  <c r="AU16" i="1"/>
  <c r="AW16" i="1" s="1"/>
  <c r="L16" i="1"/>
  <c r="P160" i="1"/>
  <c r="AW76" i="1"/>
  <c r="AM107" i="1"/>
  <c r="AO107" i="1" s="1"/>
  <c r="AO96" i="1"/>
  <c r="L32" i="1"/>
  <c r="T166" i="1"/>
  <c r="AV158" i="1"/>
  <c r="T145" i="1"/>
  <c r="L129" i="1"/>
  <c r="AF147" i="1"/>
  <c r="AW97" i="1"/>
  <c r="AV163" i="1"/>
  <c r="H166" i="1"/>
  <c r="AQ53" i="1"/>
  <c r="AS18" i="1"/>
  <c r="P92" i="1"/>
  <c r="AI166" i="1"/>
  <c r="AK166" i="1" s="1"/>
  <c r="P106" i="1"/>
  <c r="H92" i="1"/>
  <c r="L78" i="1"/>
  <c r="Q18" i="1"/>
  <c r="O53" i="1"/>
  <c r="X43" i="1"/>
  <c r="AN16" i="1"/>
  <c r="AO16" i="1"/>
  <c r="N130" i="1"/>
  <c r="P130" i="1" s="1"/>
  <c r="P118" i="1"/>
  <c r="O52" i="1"/>
  <c r="Q52" i="1" s="1"/>
  <c r="Q50" i="1"/>
  <c r="H61" i="1"/>
  <c r="F85" i="1"/>
  <c r="X16" i="1"/>
  <c r="V18" i="1"/>
  <c r="AU73" i="1"/>
  <c r="AW73" i="1" s="1"/>
  <c r="E73" i="1"/>
  <c r="AQ96" i="1"/>
  <c r="AS92" i="1"/>
  <c r="L82" i="1"/>
  <c r="AO166" i="1" l="1"/>
  <c r="AN166" i="1"/>
  <c r="AN107" i="1"/>
  <c r="AJ165" i="1"/>
  <c r="AH166" i="1"/>
  <c r="AJ166" i="1" s="1"/>
  <c r="AB147" i="1"/>
  <c r="W150" i="1"/>
  <c r="Y150" i="1" s="1"/>
  <c r="Y85" i="1"/>
  <c r="AV145" i="1"/>
  <c r="D147" i="1"/>
  <c r="AT147" i="1"/>
  <c r="AV147" i="1" s="1"/>
  <c r="AP150" i="1"/>
  <c r="AP151" i="1" s="1"/>
  <c r="X85" i="1"/>
  <c r="G107" i="1"/>
  <c r="I107" i="1" s="1"/>
  <c r="I96" i="1"/>
  <c r="E52" i="1"/>
  <c r="AU52" i="1"/>
  <c r="H96" i="1"/>
  <c r="AQ85" i="1"/>
  <c r="P85" i="1"/>
  <c r="N150" i="1"/>
  <c r="B54" i="1"/>
  <c r="AE150" i="1"/>
  <c r="AG150" i="1" s="1"/>
  <c r="AG85" i="1"/>
  <c r="Q53" i="1"/>
  <c r="O54" i="1"/>
  <c r="I53" i="1"/>
  <c r="G54" i="1"/>
  <c r="AC82" i="1"/>
  <c r="AA85" i="1"/>
  <c r="T96" i="1"/>
  <c r="AT96" i="1"/>
  <c r="AV96" i="1" s="1"/>
  <c r="R107" i="1"/>
  <c r="T107" i="1" s="1"/>
  <c r="AO82" i="1"/>
  <c r="AM85" i="1"/>
  <c r="AN82" i="1"/>
  <c r="D129" i="1"/>
  <c r="AT129" i="1"/>
  <c r="AV129" i="1" s="1"/>
  <c r="M166" i="1"/>
  <c r="AK82" i="1"/>
  <c r="AI85" i="1"/>
  <c r="I85" i="1"/>
  <c r="U85" i="1"/>
  <c r="S150" i="1"/>
  <c r="U150" i="1" s="1"/>
  <c r="AQ107" i="1"/>
  <c r="AS96" i="1"/>
  <c r="AR96" i="1"/>
  <c r="AN53" i="1"/>
  <c r="AL54" i="1"/>
  <c r="AB82" i="1"/>
  <c r="M52" i="1"/>
  <c r="L52" i="1"/>
  <c r="P53" i="1"/>
  <c r="X96" i="1"/>
  <c r="V107" i="1"/>
  <c r="AD150" i="1"/>
  <c r="AF85" i="1"/>
  <c r="M130" i="1"/>
  <c r="L130" i="1"/>
  <c r="K85" i="1"/>
  <c r="D52" i="1"/>
  <c r="AT52" i="1"/>
  <c r="AV52" i="1" s="1"/>
  <c r="C53" i="1"/>
  <c r="AN85" i="1"/>
  <c r="AL150" i="1"/>
  <c r="P107" i="1"/>
  <c r="AV126" i="1"/>
  <c r="AO53" i="1"/>
  <c r="AM54" i="1"/>
  <c r="X18" i="1"/>
  <c r="V53" i="1"/>
  <c r="B130" i="1"/>
  <c r="O107" i="1"/>
  <c r="Q107" i="1" s="1"/>
  <c r="Q96" i="1"/>
  <c r="Z54" i="1"/>
  <c r="AB53" i="1"/>
  <c r="F53" i="1"/>
  <c r="AV43" i="1"/>
  <c r="O150" i="1"/>
  <c r="Q150" i="1" s="1"/>
  <c r="Q85" i="1"/>
  <c r="AU96" i="1"/>
  <c r="AS52" i="1"/>
  <c r="AR52" i="1"/>
  <c r="AU82" i="1"/>
  <c r="E82" i="1"/>
  <c r="AV64" i="1"/>
  <c r="AJ82" i="1"/>
  <c r="AT107" i="1"/>
  <c r="H147" i="1"/>
  <c r="J166" i="1"/>
  <c r="L166" i="1" s="1"/>
  <c r="L165" i="1"/>
  <c r="M18" i="1"/>
  <c r="K53" i="1"/>
  <c r="AU18" i="1"/>
  <c r="AW18" i="1" s="1"/>
  <c r="AS53" i="1"/>
  <c r="AQ54" i="1"/>
  <c r="AT165" i="1"/>
  <c r="AW32" i="1"/>
  <c r="E107" i="1"/>
  <c r="AW61" i="1"/>
  <c r="AW160" i="1"/>
  <c r="H82" i="1"/>
  <c r="E147" i="1"/>
  <c r="AC52" i="1"/>
  <c r="AB52" i="1"/>
  <c r="D107" i="1"/>
  <c r="AC53" i="1"/>
  <c r="AA54" i="1"/>
  <c r="AK54" i="1"/>
  <c r="U52" i="1"/>
  <c r="T52" i="1"/>
  <c r="S53" i="1"/>
  <c r="AI107" i="1"/>
  <c r="AK96" i="1"/>
  <c r="AJ96" i="1"/>
  <c r="AT166" i="1"/>
  <c r="D166" i="1"/>
  <c r="E166" i="1"/>
  <c r="AG53" i="1"/>
  <c r="AE54" i="1"/>
  <c r="AV73" i="1"/>
  <c r="Q165" i="1"/>
  <c r="O166" i="1"/>
  <c r="AU165" i="1"/>
  <c r="AW165" i="1" s="1"/>
  <c r="P165" i="1"/>
  <c r="AT85" i="1"/>
  <c r="AW138" i="1"/>
  <c r="Y53" i="1"/>
  <c r="W54" i="1"/>
  <c r="AJ54" i="1"/>
  <c r="L53" i="1"/>
  <c r="J54" i="1"/>
  <c r="AG165" i="1"/>
  <c r="AE166" i="1"/>
  <c r="AF165" i="1"/>
  <c r="AB96" i="1"/>
  <c r="Z107" i="1"/>
  <c r="AB107" i="1" s="1"/>
  <c r="AW118" i="1"/>
  <c r="L107" i="1"/>
  <c r="X130" i="1"/>
  <c r="AV68" i="1"/>
  <c r="AT82" i="1"/>
  <c r="AV82" i="1" s="1"/>
  <c r="D82" i="1"/>
  <c r="AU147" i="1"/>
  <c r="AW50" i="1"/>
  <c r="C85" i="1"/>
  <c r="AF107" i="1"/>
  <c r="T85" i="1"/>
  <c r="T129" i="1"/>
  <c r="R130" i="1"/>
  <c r="T130" i="1" s="1"/>
  <c r="N151" i="1"/>
  <c r="P54" i="1"/>
  <c r="AF53" i="1"/>
  <c r="AD54" i="1"/>
  <c r="AW106" i="1"/>
  <c r="F150" i="1"/>
  <c r="H85" i="1"/>
  <c r="AJ85" i="1"/>
  <c r="AH150" i="1"/>
  <c r="AH151" i="1" s="1"/>
  <c r="I129" i="1"/>
  <c r="G130" i="1"/>
  <c r="H130" i="1" s="1"/>
  <c r="AR82" i="1"/>
  <c r="AV134" i="1"/>
  <c r="E129" i="1"/>
  <c r="AR166" i="1"/>
  <c r="AC165" i="1"/>
  <c r="AA166" i="1"/>
  <c r="AB165" i="1"/>
  <c r="AV78" i="1"/>
  <c r="P52" i="1"/>
  <c r="AR53" i="1"/>
  <c r="AV25" i="1"/>
  <c r="AV16" i="1"/>
  <c r="AH167" i="1" l="1"/>
  <c r="AP167" i="1"/>
  <c r="AW82" i="1"/>
  <c r="AG166" i="1"/>
  <c r="AF166" i="1"/>
  <c r="AV165" i="1"/>
  <c r="Q166" i="1"/>
  <c r="P166" i="1"/>
  <c r="H150" i="1"/>
  <c r="G151" i="1"/>
  <c r="I54" i="1"/>
  <c r="AG54" i="1"/>
  <c r="AE151" i="1"/>
  <c r="AC85" i="1"/>
  <c r="AA150" i="1"/>
  <c r="AC150" i="1" s="1"/>
  <c r="AS107" i="1"/>
  <c r="AR107" i="1"/>
  <c r="H107" i="1"/>
  <c r="AW96" i="1"/>
  <c r="O151" i="1"/>
  <c r="Q54" i="1"/>
  <c r="G150" i="1"/>
  <c r="I150" i="1" s="1"/>
  <c r="AV166" i="1"/>
  <c r="J151" i="1"/>
  <c r="AI150" i="1"/>
  <c r="AK85" i="1"/>
  <c r="AS54" i="1"/>
  <c r="M53" i="1"/>
  <c r="K54" i="1"/>
  <c r="X107" i="1"/>
  <c r="V150" i="1"/>
  <c r="X150" i="1" s="1"/>
  <c r="AT130" i="1"/>
  <c r="D130" i="1"/>
  <c r="E130" i="1"/>
  <c r="AR54" i="1"/>
  <c r="X53" i="1"/>
  <c r="V54" i="1"/>
  <c r="AO85" i="1"/>
  <c r="AM150" i="1"/>
  <c r="AO150" i="1" s="1"/>
  <c r="AL151" i="1"/>
  <c r="AN54" i="1"/>
  <c r="AN150" i="1"/>
  <c r="AD151" i="1"/>
  <c r="AF54" i="1"/>
  <c r="E53" i="1"/>
  <c r="AU53" i="1"/>
  <c r="AW53" i="1" s="1"/>
  <c r="C54" i="1"/>
  <c r="D54" i="1" s="1"/>
  <c r="AB85" i="1"/>
  <c r="AU107" i="1"/>
  <c r="AW107" i="1" s="1"/>
  <c r="Z150" i="1"/>
  <c r="Z151" i="1" s="1"/>
  <c r="P151" i="1"/>
  <c r="N167" i="1"/>
  <c r="K150" i="1"/>
  <c r="M85" i="1"/>
  <c r="L85" i="1"/>
  <c r="R150" i="1"/>
  <c r="H53" i="1"/>
  <c r="F54" i="1"/>
  <c r="AT54" i="1"/>
  <c r="AT53" i="1"/>
  <c r="C150" i="1"/>
  <c r="AU85" i="1"/>
  <c r="AW85" i="1" s="1"/>
  <c r="E85" i="1"/>
  <c r="P150" i="1"/>
  <c r="AW147" i="1"/>
  <c r="D85" i="1"/>
  <c r="AC54" i="1"/>
  <c r="AJ150" i="1"/>
  <c r="AR150" i="1"/>
  <c r="AC166" i="1"/>
  <c r="AB166" i="1"/>
  <c r="AK107" i="1"/>
  <c r="AJ107" i="1"/>
  <c r="AU166" i="1"/>
  <c r="AW166" i="1" s="1"/>
  <c r="U53" i="1"/>
  <c r="S54" i="1"/>
  <c r="T53" i="1"/>
  <c r="AB54" i="1"/>
  <c r="D53" i="1"/>
  <c r="W151" i="1"/>
  <c r="Y54" i="1"/>
  <c r="AF150" i="1"/>
  <c r="AQ150" i="1"/>
  <c r="AS150" i="1" s="1"/>
  <c r="AS85" i="1"/>
  <c r="AR85" i="1"/>
  <c r="AV85" i="1"/>
  <c r="I130" i="1"/>
  <c r="AU130" i="1"/>
  <c r="AW130" i="1" s="1"/>
  <c r="B150" i="1"/>
  <c r="AV18" i="1"/>
  <c r="AM151" i="1"/>
  <c r="AO54" i="1"/>
  <c r="AW52" i="1"/>
  <c r="AW129" i="1"/>
  <c r="Z167" i="1" l="1"/>
  <c r="D150" i="1"/>
  <c r="AT150" i="1"/>
  <c r="AG151" i="1"/>
  <c r="AE167" i="1"/>
  <c r="AG167" i="1" s="1"/>
  <c r="M150" i="1"/>
  <c r="L150" i="1"/>
  <c r="AV130" i="1"/>
  <c r="AK150" i="1"/>
  <c r="AI151" i="1"/>
  <c r="AL167" i="1"/>
  <c r="AN167" i="1" s="1"/>
  <c r="AN151" i="1"/>
  <c r="S151" i="1"/>
  <c r="U54" i="1"/>
  <c r="T54" i="1"/>
  <c r="AV107" i="1"/>
  <c r="H54" i="1"/>
  <c r="F151" i="1"/>
  <c r="AM167" i="1"/>
  <c r="AO167" i="1" s="1"/>
  <c r="AO151" i="1"/>
  <c r="AA151" i="1"/>
  <c r="K151" i="1"/>
  <c r="M54" i="1"/>
  <c r="G167" i="1"/>
  <c r="I167" i="1" s="1"/>
  <c r="I151" i="1"/>
  <c r="AD167" i="1"/>
  <c r="AF167" i="1" s="1"/>
  <c r="AF151" i="1"/>
  <c r="L54" i="1"/>
  <c r="B151" i="1"/>
  <c r="Q151" i="1"/>
  <c r="O167" i="1"/>
  <c r="Q167" i="1" s="1"/>
  <c r="AB150" i="1"/>
  <c r="C151" i="1"/>
  <c r="AU54" i="1"/>
  <c r="AW54" i="1" s="1"/>
  <c r="E54" i="1"/>
  <c r="AQ151" i="1"/>
  <c r="Y151" i="1"/>
  <c r="W167" i="1"/>
  <c r="Y167" i="1" s="1"/>
  <c r="E150" i="1"/>
  <c r="AU150" i="1"/>
  <c r="AW150" i="1" s="1"/>
  <c r="AV53" i="1"/>
  <c r="J167" i="1"/>
  <c r="L151" i="1"/>
  <c r="T150" i="1"/>
  <c r="R151" i="1"/>
  <c r="V151" i="1"/>
  <c r="X54" i="1"/>
  <c r="F167" i="1" l="1"/>
  <c r="H167" i="1" s="1"/>
  <c r="H151" i="1"/>
  <c r="AU151" i="1"/>
  <c r="E151" i="1"/>
  <c r="C167" i="1"/>
  <c r="S167" i="1"/>
  <c r="U167" i="1" s="1"/>
  <c r="U151" i="1"/>
  <c r="V167" i="1"/>
  <c r="X167" i="1" s="1"/>
  <c r="X151" i="1"/>
  <c r="M151" i="1"/>
  <c r="K167" i="1"/>
  <c r="M167" i="1" s="1"/>
  <c r="AV150" i="1"/>
  <c r="B167" i="1"/>
  <c r="D151" i="1"/>
  <c r="AT151" i="1"/>
  <c r="AV151" i="1" s="1"/>
  <c r="AK151" i="1"/>
  <c r="AI167" i="1"/>
  <c r="AJ151" i="1"/>
  <c r="AV54" i="1"/>
  <c r="R167" i="1"/>
  <c r="T151" i="1"/>
  <c r="P167" i="1"/>
  <c r="AA167" i="1"/>
  <c r="AC167" i="1" s="1"/>
  <c r="AC151" i="1"/>
  <c r="AB151" i="1"/>
  <c r="AQ167" i="1"/>
  <c r="AS151" i="1"/>
  <c r="AR151" i="1"/>
  <c r="AB167" i="1"/>
  <c r="AT167" i="1" l="1"/>
  <c r="D167" i="1"/>
  <c r="AK167" i="1"/>
  <c r="AJ167" i="1"/>
  <c r="AS167" i="1"/>
  <c r="AR167" i="1"/>
  <c r="AU167" i="1"/>
  <c r="AW167" i="1" s="1"/>
  <c r="E167" i="1"/>
  <c r="L167" i="1"/>
  <c r="AW151" i="1"/>
  <c r="T167" i="1"/>
  <c r="AV167" i="1" l="1"/>
</calcChain>
</file>

<file path=xl/sharedStrings.xml><?xml version="1.0" encoding="utf-8"?>
<sst xmlns="http://schemas.openxmlformats.org/spreadsheetml/2006/main" count="225" uniqueCount="181">
  <si>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</si>
  <si>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</si>
  <si>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</si>
  <si>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</si>
  <si>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</si>
  <si>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</si>
  <si>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</si>
  <si>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</si>
  <si>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</si>
  <si>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</si>
  <si>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</si>
  <si>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Total</t>
  </si>
  <si>
    <t>Actual</t>
  </si>
  <si>
    <t>Budget</t>
  </si>
  <si>
    <t>over Budget</t>
  </si>
  <si>
    <t>% of Budget</t>
  </si>
  <si>
    <t>Income</t>
  </si>
  <si>
    <t xml:space="preserve">   Business Services</t>
  </si>
  <si>
    <t xml:space="preserve">      Book Donation Rack</t>
  </si>
  <si>
    <t xml:space="preserve">      Copies</t>
  </si>
  <si>
    <t xml:space="preserve">      Fax</t>
  </si>
  <si>
    <t xml:space="preserve">      Fines</t>
  </si>
  <si>
    <t xml:space="preserve">      New Library Cards</t>
  </si>
  <si>
    <t xml:space="preserve">      Other Sales &amp; Services</t>
  </si>
  <si>
    <t xml:space="preserve">         Flashdrive Sales</t>
  </si>
  <si>
    <t xml:space="preserve">      Total Other Sales &amp; Services</t>
  </si>
  <si>
    <t xml:space="preserve">      Passport Services</t>
  </si>
  <si>
    <t xml:space="preserve">   Total Business Services</t>
  </si>
  <si>
    <t xml:space="preserve">   Discounts given</t>
  </si>
  <si>
    <t xml:space="preserve">   E-Rate Revenue</t>
  </si>
  <si>
    <t xml:space="preserve">   Gifts &amp; Donations</t>
  </si>
  <si>
    <t xml:space="preserve">      Contributions Income</t>
  </si>
  <si>
    <t xml:space="preserve">      Corporate Contributions</t>
  </si>
  <si>
    <t xml:space="preserve">      In-Kind Contributions</t>
  </si>
  <si>
    <t xml:space="preserve">   Total Gifts &amp; Donations</t>
  </si>
  <si>
    <t xml:space="preserve">   Interest Income</t>
  </si>
  <si>
    <t xml:space="preserve">   Meeting Room Revenue</t>
  </si>
  <si>
    <t xml:space="preserve">      A/V System</t>
  </si>
  <si>
    <t xml:space="preserve">      Cleaning Fee</t>
  </si>
  <si>
    <t xml:space="preserve">      Kitchen &amp; Pantry Use</t>
  </si>
  <si>
    <t xml:space="preserve">      Meeting Rooms</t>
  </si>
  <si>
    <t xml:space="preserve">   Total Meeting Room Revenue</t>
  </si>
  <si>
    <t xml:space="preserve">   Miscellaneous Income</t>
  </si>
  <si>
    <t xml:space="preserve">   Property Taxes</t>
  </si>
  <si>
    <t xml:space="preserve">      Abatement's (Current &amp; PY)</t>
  </si>
  <si>
    <t xml:space="preserve">      Delinquent Taxes</t>
  </si>
  <si>
    <t xml:space="preserve">      DOW-PILT</t>
  </si>
  <si>
    <t xml:space="preserve">      Personal Property Exemption</t>
  </si>
  <si>
    <t xml:space="preserve">      San Miguel County</t>
  </si>
  <si>
    <t xml:space="preserve">      Senior/Veteran Tax Exemption</t>
  </si>
  <si>
    <t xml:space="preserve">      Specific Ownership</t>
  </si>
  <si>
    <t xml:space="preserve">      Tax Interest (Current &amp; Delinquent)</t>
  </si>
  <si>
    <t xml:space="preserve">   Total Property Taxes</t>
  </si>
  <si>
    <t xml:space="preserve">   Sales</t>
  </si>
  <si>
    <t xml:space="preserve">   State &amp; Local Grants</t>
  </si>
  <si>
    <t xml:space="preserve">      Grants</t>
  </si>
  <si>
    <t xml:space="preserve">         ALA Grant</t>
  </si>
  <si>
    <t xml:space="preserve">         Just 4 Kids</t>
  </si>
  <si>
    <t xml:space="preserve">         Telluride Foundation</t>
  </si>
  <si>
    <t xml:space="preserve">      Total Grants</t>
  </si>
  <si>
    <t xml:space="preserve">      State of Colorado - Grants for Libraries</t>
  </si>
  <si>
    <t xml:space="preserve">   Total State &amp; Local Grants</t>
  </si>
  <si>
    <t>Total Income</t>
  </si>
  <si>
    <t>Gross Profit</t>
  </si>
  <si>
    <t>Expenses</t>
  </si>
  <si>
    <t xml:space="preserve">   Administration</t>
  </si>
  <si>
    <t xml:space="preserve">      Advertising</t>
  </si>
  <si>
    <t xml:space="preserve">      Computer Software</t>
  </si>
  <si>
    <t xml:space="preserve">         Annual Subscriptions</t>
  </si>
  <si>
    <t xml:space="preserve">         Monthly Subscriptions</t>
  </si>
  <si>
    <t xml:space="preserve">      Total Computer Software</t>
  </si>
  <si>
    <t xml:space="preserve">      Contract Services</t>
  </si>
  <si>
    <t xml:space="preserve">         Copier/Printer Lease</t>
  </si>
  <si>
    <t xml:space="preserve">      Total Contract Services</t>
  </si>
  <si>
    <t xml:space="preserve">      Equipment/Computer</t>
  </si>
  <si>
    <t xml:space="preserve">      Insurance</t>
  </si>
  <si>
    <t xml:space="preserve">         Liability Insurance</t>
  </si>
  <si>
    <t xml:space="preserve">      Total Insurance</t>
  </si>
  <si>
    <t xml:space="preserve">      Legal &amp; Professional Fees</t>
  </si>
  <si>
    <t xml:space="preserve">         Accounting</t>
  </si>
  <si>
    <t xml:space="preserve">         Consulting</t>
  </si>
  <si>
    <t xml:space="preserve">         Legal Fees</t>
  </si>
  <si>
    <t xml:space="preserve">      Total Legal &amp; Professional Fees</t>
  </si>
  <si>
    <t xml:space="preserve">      Marketing</t>
  </si>
  <si>
    <t xml:space="preserve">      Miscellaneous</t>
  </si>
  <si>
    <t xml:space="preserve">         Bank Service Charges</t>
  </si>
  <si>
    <t xml:space="preserve">            PayPal Fees</t>
  </si>
  <si>
    <t xml:space="preserve">         Total Bank Service Charges</t>
  </si>
  <si>
    <t xml:space="preserve">         Dues and Subscriptions</t>
  </si>
  <si>
    <t xml:space="preserve">         Other</t>
  </si>
  <si>
    <t xml:space="preserve">         Staff/Board Gifts (Donation Paid For)</t>
  </si>
  <si>
    <t xml:space="preserve">      Total Miscellaneous</t>
  </si>
  <si>
    <t xml:space="preserve">      Office Supplies</t>
  </si>
  <si>
    <t xml:space="preserve">      Postage and Delivery</t>
  </si>
  <si>
    <t xml:space="preserve">   Total Administration</t>
  </si>
  <si>
    <t xml:space="preserve">   Facility Costs</t>
  </si>
  <si>
    <t xml:space="preserve">      Janitorial Service</t>
  </si>
  <si>
    <t xml:space="preserve">      Maintenance</t>
  </si>
  <si>
    <t xml:space="preserve">         Building Repairs/ Maintenance</t>
  </si>
  <si>
    <t xml:space="preserve">            Meeting Room Expense</t>
  </si>
  <si>
    <t xml:space="preserve">            Other Maintenance</t>
  </si>
  <si>
    <t xml:space="preserve">         Total Building Repairs/ Maintenance</t>
  </si>
  <si>
    <t xml:space="preserve">         Cleaning Supplies</t>
  </si>
  <si>
    <t xml:space="preserve">         COVID-19 Supplies</t>
  </si>
  <si>
    <t xml:space="preserve">         Snow Removal</t>
  </si>
  <si>
    <t xml:space="preserve">      Total Maintenance</t>
  </si>
  <si>
    <t xml:space="preserve">      Security</t>
  </si>
  <si>
    <t xml:space="preserve">      Utilities</t>
  </si>
  <si>
    <t xml:space="preserve">         Electric</t>
  </si>
  <si>
    <t xml:space="preserve">         Internet</t>
  </si>
  <si>
    <t xml:space="preserve">         Natural Gas</t>
  </si>
  <si>
    <t xml:space="preserve">         Sewer</t>
  </si>
  <si>
    <t xml:space="preserve">         Telephone</t>
  </si>
  <si>
    <t xml:space="preserve">         Trash</t>
  </si>
  <si>
    <t xml:space="preserve">         Water</t>
  </si>
  <si>
    <t xml:space="preserve">      Total Utilities</t>
  </si>
  <si>
    <t xml:space="preserve">   Total Facility Costs</t>
  </si>
  <si>
    <t xml:space="preserve">   Library Services</t>
  </si>
  <si>
    <t xml:space="preserve">      Automation</t>
  </si>
  <si>
    <t xml:space="preserve">      Materials</t>
  </si>
  <si>
    <t xml:space="preserve">         Books</t>
  </si>
  <si>
    <t xml:space="preserve">         CDs</t>
  </si>
  <si>
    <t xml:space="preserve">         Down Loadable Audio,eBook, eMag</t>
  </si>
  <si>
    <t xml:space="preserve">         Electronic Databases</t>
  </si>
  <si>
    <t xml:space="preserve">         Magazines</t>
  </si>
  <si>
    <t xml:space="preserve">         Summer Reading Materials (deleted)</t>
  </si>
  <si>
    <t xml:space="preserve">         Videos (DVDs) (deleted)</t>
  </si>
  <si>
    <t xml:space="preserve">      Total Materials</t>
  </si>
  <si>
    <t xml:space="preserve">      Program Expense</t>
  </si>
  <si>
    <t xml:space="preserve">         Adult Programming</t>
  </si>
  <si>
    <t xml:space="preserve">         Early Literacy Program</t>
  </si>
  <si>
    <t xml:space="preserve">         K-5 Programming</t>
  </si>
  <si>
    <t xml:space="preserve">         Other Programing</t>
  </si>
  <si>
    <t xml:space="preserve">            Lunch Program</t>
  </si>
  <si>
    <t xml:space="preserve">            Supplies</t>
  </si>
  <si>
    <t xml:space="preserve">         Total Other Programing</t>
  </si>
  <si>
    <t xml:space="preserve">         Summer Reading Program</t>
  </si>
  <si>
    <t xml:space="preserve">         Teen Programing</t>
  </si>
  <si>
    <t xml:space="preserve">      Total Program Expense</t>
  </si>
  <si>
    <t xml:space="preserve">   Total Library Services</t>
  </si>
  <si>
    <t xml:space="preserve">   Staffing Costs</t>
  </si>
  <si>
    <t xml:space="preserve">      Board Expense</t>
  </si>
  <si>
    <t xml:space="preserve">         Meals</t>
  </si>
  <si>
    <t xml:space="preserve">      Total Board Expense</t>
  </si>
  <si>
    <t xml:space="preserve">      Continuing Education</t>
  </si>
  <si>
    <t xml:space="preserve">         Continuing Education</t>
  </si>
  <si>
    <t xml:space="preserve">         Meetings, Travel &amp; Meals</t>
  </si>
  <si>
    <t xml:space="preserve">      Total Continuing Education</t>
  </si>
  <si>
    <t xml:space="preserve">      Payroll</t>
  </si>
  <si>
    <t xml:space="preserve">         Health Insurance</t>
  </si>
  <si>
    <t xml:space="preserve">         Payroll Expenses</t>
  </si>
  <si>
    <t xml:space="preserve">         SIMPLE IRA</t>
  </si>
  <si>
    <t xml:space="preserve">         Unemployment Insurance</t>
  </si>
  <si>
    <t xml:space="preserve">         Wages &amp; Salaries</t>
  </si>
  <si>
    <t xml:space="preserve">      Total Payroll</t>
  </si>
  <si>
    <t xml:space="preserve">      Workers Comp Ins.</t>
  </si>
  <si>
    <t xml:space="preserve">   Total Staffing Costs</t>
  </si>
  <si>
    <t xml:space="preserve">   Stories &amp; Poems</t>
  </si>
  <si>
    <t xml:space="preserve">   Treasurer's Fees</t>
  </si>
  <si>
    <t>Total Expenses</t>
  </si>
  <si>
    <t>Net Operating Income</t>
  </si>
  <si>
    <t>Other Income</t>
  </si>
  <si>
    <t xml:space="preserve">   Other Income</t>
  </si>
  <si>
    <t>Total Other Income</t>
  </si>
  <si>
    <t>Other Expenses</t>
  </si>
  <si>
    <t xml:space="preserve">   Capital Outlay</t>
  </si>
  <si>
    <t xml:space="preserve">   Certificates of Participation (Lease)</t>
  </si>
  <si>
    <t xml:space="preserve">      Lease - Principal</t>
  </si>
  <si>
    <t xml:space="preserve">      Lease Interest Expense</t>
  </si>
  <si>
    <t xml:space="preserve">   Total Certificates of Participation (Lease)</t>
  </si>
  <si>
    <t xml:space="preserve">   Lease Pmt Offset</t>
  </si>
  <si>
    <t xml:space="preserve">   Other Expenses</t>
  </si>
  <si>
    <t xml:space="preserve">      Contingency</t>
  </si>
  <si>
    <t xml:space="preserve">   Total Other Expenses</t>
  </si>
  <si>
    <t>Total Other Expenses</t>
  </si>
  <si>
    <t>Net Other Income</t>
  </si>
  <si>
    <t>Net Income</t>
  </si>
  <si>
    <t>Thursday, Dec 04, 2025 08:26:04 AM GMT-8 - Accrual Basis</t>
  </si>
  <si>
    <t>Lone Cone Library District</t>
  </si>
  <si>
    <t xml:space="preserve">Budget vs. Actuals: FY2025 Budget - FY25 P&amp;L </t>
  </si>
  <si>
    <t>January - November,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</si>
</sst>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0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0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0" fontId="2" fillId="0" borderId="3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71"/>
  <sheetViews>
    <sheetView tabSelected="1" workbookViewId="0">
      <pane xSplit="1" topLeftCell="AA1" activePane="topRight" state="frozen"/>
      <selection activeCell="A6" sqref="A6"/>
      <selection pane="topRight" activeCell="AW167" sqref="AW167"/>
    </sheetView>
  </sheetViews>
  <sheetFormatPr defaultRowHeight="15" x14ac:dyDescent="0.25"/>
  <cols>
    <col min="1" max="1" width="40.42578125" customWidth="1"/>
    <col min="2" max="2" width="11.140625" customWidth="1"/>
    <col min="3" max="4" width="12" customWidth="1"/>
    <col min="5" max="5" width="8.5703125" customWidth="1"/>
    <col min="6" max="6" width="9.42578125" customWidth="1"/>
    <col min="7" max="7" width="7.7109375" customWidth="1"/>
    <col min="8" max="8" width="9.42578125" customWidth="1"/>
    <col min="9" max="9" width="7.7109375" customWidth="1"/>
    <col min="10" max="10" width="11.140625" customWidth="1"/>
    <col min="11" max="11" width="7.7109375" customWidth="1"/>
    <col min="12" max="12" width="11.140625" customWidth="1"/>
    <col min="13" max="13" width="7.7109375" customWidth="1"/>
    <col min="14" max="14" width="11.140625" customWidth="1"/>
    <col min="15" max="15" width="7.7109375" customWidth="1"/>
    <col min="16" max="16" width="11.140625" customWidth="1"/>
    <col min="17" max="17" width="7.7109375" customWidth="1"/>
    <col min="18" max="18" width="9.42578125" customWidth="1"/>
    <col min="19" max="19" width="7.7109375" customWidth="1"/>
    <col min="20" max="20" width="9.42578125" customWidth="1"/>
    <col min="21" max="21" width="7.7109375" customWidth="1"/>
    <col min="22" max="22" width="9.42578125" customWidth="1"/>
    <col min="23" max="23" width="7.7109375" customWidth="1"/>
    <col min="24" max="24" width="9.42578125" customWidth="1"/>
    <col min="25" max="25" width="7.7109375" customWidth="1"/>
    <col min="26" max="26" width="10.28515625" customWidth="1"/>
    <col min="27" max="27" width="7.7109375" customWidth="1"/>
    <col min="28" max="28" width="10.28515625" customWidth="1"/>
    <col min="29" max="29" width="7.7109375" customWidth="1"/>
    <col min="30" max="30" width="11.140625" customWidth="1"/>
    <col min="31" max="31" width="7.7109375" customWidth="1"/>
    <col min="32" max="32" width="11.140625" customWidth="1"/>
    <col min="33" max="33" width="7.7109375" customWidth="1"/>
    <col min="34" max="34" width="11.140625" customWidth="1"/>
    <col min="35" max="35" width="7.7109375" customWidth="1"/>
    <col min="36" max="36" width="11.140625" customWidth="1"/>
    <col min="37" max="37" width="7.7109375" customWidth="1"/>
    <col min="38" max="38" width="11.140625" customWidth="1"/>
    <col min="39" max="39" width="7.7109375" customWidth="1"/>
    <col min="40" max="40" width="11.140625" customWidth="1"/>
    <col min="41" max="41" width="7.7109375" customWidth="1"/>
    <col min="42" max="42" width="11.140625" customWidth="1"/>
    <col min="43" max="43" width="7.7109375" customWidth="1"/>
    <col min="44" max="44" width="11.140625" customWidth="1"/>
    <col min="45" max="45" width="7.7109375" customWidth="1"/>
    <col min="46" max="48" width="12" customWidth="1"/>
    <col min="49" max="49" width="7.7109375" customWidth="1"/>
  </cols>
  <sheetData>
    <row r="1" spans="1:49" ht="18" x14ac:dyDescent="0.25">
      <c r="A1" s="15" t="s">
        <v>178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</row>
    <row r="2" spans="1:49" ht="18" x14ac:dyDescent="0.25">
      <c r="A2" s="15" t="s">
        <v>179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</row>
    <row r="3" spans="1:49" x14ac:dyDescent="0.25">
      <c r="A3" s="16" t="s">
        <v>180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</row>
    <row r="5" spans="1:49" x14ac:dyDescent="0.25">
      <c r="A5" s="1"/>
      <c r="B5" s="11" t="s">
        <v>0</v>
      </c>
      <c r="C5" s="12"/>
      <c r="D5" s="12"/>
      <c r="E5" s="12"/>
      <c r="F5" s="11" t="s">
        <v>1</v>
      </c>
      <c r="G5" s="12"/>
      <c r="H5" s="12"/>
      <c r="I5" s="12"/>
      <c r="J5" s="11" t="s">
        <v>2</v>
      </c>
      <c r="K5" s="12"/>
      <c r="L5" s="12"/>
      <c r="M5" s="12"/>
      <c r="N5" s="11" t="s">
        <v>3</v>
      </c>
      <c r="O5" s="12"/>
      <c r="P5" s="12"/>
      <c r="Q5" s="12"/>
      <c r="R5" s="11" t="s">
        <v>4</v>
      </c>
      <c r="S5" s="12"/>
      <c r="T5" s="12"/>
      <c r="U5" s="12"/>
      <c r="V5" s="11" t="s">
        <v>5</v>
      </c>
      <c r="W5" s="12"/>
      <c r="X5" s="12"/>
      <c r="Y5" s="12"/>
      <c r="Z5" s="11" t="s">
        <v>6</v>
      </c>
      <c r="AA5" s="12"/>
      <c r="AB5" s="12"/>
      <c r="AC5" s="12"/>
      <c r="AD5" s="11" t="s">
        <v>7</v>
      </c>
      <c r="AE5" s="12"/>
      <c r="AF5" s="12"/>
      <c r="AG5" s="12"/>
      <c r="AH5" s="11" t="s">
        <v>8</v>
      </c>
      <c r="AI5" s="12"/>
      <c r="AJ5" s="12"/>
      <c r="AK5" s="12"/>
      <c r="AL5" s="11" t="s">
        <v>9</v>
      </c>
      <c r="AM5" s="12"/>
      <c r="AN5" s="12"/>
      <c r="AO5" s="12"/>
      <c r="AP5" s="11" t="s">
        <v>10</v>
      </c>
      <c r="AQ5" s="12"/>
      <c r="AR5" s="12"/>
      <c r="AS5" s="12"/>
      <c r="AT5" s="11" t="s">
        <v>11</v>
      </c>
      <c r="AU5" s="12"/>
      <c r="AV5" s="12"/>
      <c r="AW5" s="12"/>
    </row>
    <row r="6" spans="1:49" ht="24.75" x14ac:dyDescent="0.25">
      <c r="A6" s="1"/>
      <c r="B6" s="2" t="s">
        <v>12</v>
      </c>
      <c r="C6" s="2" t="s">
        <v>13</v>
      </c>
      <c r="D6" s="2" t="s">
        <v>14</v>
      </c>
      <c r="E6" s="2" t="s">
        <v>15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12</v>
      </c>
      <c r="K6" s="2" t="s">
        <v>13</v>
      </c>
      <c r="L6" s="2" t="s">
        <v>14</v>
      </c>
      <c r="M6" s="2" t="s">
        <v>15</v>
      </c>
      <c r="N6" s="2" t="s">
        <v>12</v>
      </c>
      <c r="O6" s="2" t="s">
        <v>13</v>
      </c>
      <c r="P6" s="2" t="s">
        <v>14</v>
      </c>
      <c r="Q6" s="2" t="s">
        <v>15</v>
      </c>
      <c r="R6" s="2" t="s">
        <v>12</v>
      </c>
      <c r="S6" s="2" t="s">
        <v>13</v>
      </c>
      <c r="T6" s="2" t="s">
        <v>14</v>
      </c>
      <c r="U6" s="2" t="s">
        <v>15</v>
      </c>
      <c r="V6" s="2" t="s">
        <v>12</v>
      </c>
      <c r="W6" s="2" t="s">
        <v>13</v>
      </c>
      <c r="X6" s="2" t="s">
        <v>14</v>
      </c>
      <c r="Y6" s="2" t="s">
        <v>15</v>
      </c>
      <c r="Z6" s="2" t="s">
        <v>12</v>
      </c>
      <c r="AA6" s="2" t="s">
        <v>13</v>
      </c>
      <c r="AB6" s="2" t="s">
        <v>14</v>
      </c>
      <c r="AC6" s="2" t="s">
        <v>15</v>
      </c>
      <c r="AD6" s="2" t="s">
        <v>12</v>
      </c>
      <c r="AE6" s="2" t="s">
        <v>13</v>
      </c>
      <c r="AF6" s="2" t="s">
        <v>14</v>
      </c>
      <c r="AG6" s="2" t="s">
        <v>15</v>
      </c>
      <c r="AH6" s="2" t="s">
        <v>12</v>
      </c>
      <c r="AI6" s="2" t="s">
        <v>13</v>
      </c>
      <c r="AJ6" s="2" t="s">
        <v>14</v>
      </c>
      <c r="AK6" s="2" t="s">
        <v>15</v>
      </c>
      <c r="AL6" s="2" t="s">
        <v>12</v>
      </c>
      <c r="AM6" s="2" t="s">
        <v>13</v>
      </c>
      <c r="AN6" s="2" t="s">
        <v>14</v>
      </c>
      <c r="AO6" s="2" t="s">
        <v>15</v>
      </c>
      <c r="AP6" s="2" t="s">
        <v>12</v>
      </c>
      <c r="AQ6" s="2" t="s">
        <v>13</v>
      </c>
      <c r="AR6" s="2" t="s">
        <v>14</v>
      </c>
      <c r="AS6" s="2" t="s">
        <v>15</v>
      </c>
      <c r="AT6" s="2" t="s">
        <v>12</v>
      </c>
      <c r="AU6" s="2" t="s">
        <v>13</v>
      </c>
      <c r="AV6" s="2" t="s">
        <v>14</v>
      </c>
      <c r="AW6" s="2" t="s">
        <v>15</v>
      </c>
    </row>
    <row r="7" spans="1:49" x14ac:dyDescent="0.25">
      <c r="A7" s="3" t="s">
        <v>16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49" x14ac:dyDescent="0.25">
      <c r="A8" s="3" t="s">
        <v>17</v>
      </c>
      <c r="B8" s="4"/>
      <c r="C8" s="4"/>
      <c r="D8" s="5">
        <f t="shared" ref="D8:D54" si="0">(B8)-(C8)</f>
        <v>0</v>
      </c>
      <c r="E8" s="6" t="str">
        <f t="shared" ref="E8:E54" si="1">IF(C8=0,"",(B8)/(C8))</f>
        <v/>
      </c>
      <c r="F8" s="4"/>
      <c r="G8" s="4"/>
      <c r="H8" s="5">
        <f t="shared" ref="H8:H54" si="2">(F8)-(G8)</f>
        <v>0</v>
      </c>
      <c r="I8" s="6" t="str">
        <f t="shared" ref="I8:I54" si="3">IF(G8=0,"",(F8)/(G8))</f>
        <v/>
      </c>
      <c r="J8" s="4"/>
      <c r="K8" s="4"/>
      <c r="L8" s="5">
        <f t="shared" ref="L8:L54" si="4">(J8)-(K8)</f>
        <v>0</v>
      </c>
      <c r="M8" s="6" t="str">
        <f t="shared" ref="M8:M54" si="5">IF(K8=0,"",(J8)/(K8))</f>
        <v/>
      </c>
      <c r="N8" s="4"/>
      <c r="O8" s="4"/>
      <c r="P8" s="5">
        <f t="shared" ref="P8:P54" si="6">(N8)-(O8)</f>
        <v>0</v>
      </c>
      <c r="Q8" s="6" t="str">
        <f t="shared" ref="Q8:Q54" si="7">IF(O8=0,"",(N8)/(O8))</f>
        <v/>
      </c>
      <c r="R8" s="4"/>
      <c r="S8" s="4"/>
      <c r="T8" s="5">
        <f t="shared" ref="T8:T54" si="8">(R8)-(S8)</f>
        <v>0</v>
      </c>
      <c r="U8" s="6" t="str">
        <f t="shared" ref="U8:U54" si="9">IF(S8=0,"",(R8)/(S8))</f>
        <v/>
      </c>
      <c r="V8" s="4"/>
      <c r="W8" s="4"/>
      <c r="X8" s="5">
        <f t="shared" ref="X8:X54" si="10">(V8)-(W8)</f>
        <v>0</v>
      </c>
      <c r="Y8" s="6" t="str">
        <f t="shared" ref="Y8:Y54" si="11">IF(W8=0,"",(V8)/(W8))</f>
        <v/>
      </c>
      <c r="Z8" s="4"/>
      <c r="AA8" s="4"/>
      <c r="AB8" s="5">
        <f t="shared" ref="AB8:AB54" si="12">(Z8)-(AA8)</f>
        <v>0</v>
      </c>
      <c r="AC8" s="6" t="str">
        <f t="shared" ref="AC8:AC54" si="13">IF(AA8=0,"",(Z8)/(AA8))</f>
        <v/>
      </c>
      <c r="AD8" s="5">
        <f>66.15</f>
        <v>66.150000000000006</v>
      </c>
      <c r="AE8" s="4"/>
      <c r="AF8" s="5">
        <f t="shared" ref="AF8:AF54" si="14">(AD8)-(AE8)</f>
        <v>66.150000000000006</v>
      </c>
      <c r="AG8" s="6" t="str">
        <f t="shared" ref="AG8:AG54" si="15">IF(AE8=0,"",(AD8)/(AE8))</f>
        <v/>
      </c>
      <c r="AH8" s="4"/>
      <c r="AI8" s="4"/>
      <c r="AJ8" s="5">
        <f t="shared" ref="AJ8:AJ54" si="16">(AH8)-(AI8)</f>
        <v>0</v>
      </c>
      <c r="AK8" s="6" t="str">
        <f t="shared" ref="AK8:AK54" si="17">IF(AI8=0,"",(AH8)/(AI8))</f>
        <v/>
      </c>
      <c r="AL8" s="4"/>
      <c r="AM8" s="4"/>
      <c r="AN8" s="5">
        <f t="shared" ref="AN8:AN54" si="18">(AL8)-(AM8)</f>
        <v>0</v>
      </c>
      <c r="AO8" s="6" t="str">
        <f t="shared" ref="AO8:AO54" si="19">IF(AM8=0,"",(AL8)/(AM8))</f>
        <v/>
      </c>
      <c r="AP8" s="4"/>
      <c r="AQ8" s="4"/>
      <c r="AR8" s="5">
        <f t="shared" ref="AR8:AR54" si="20">(AP8)-(AQ8)</f>
        <v>0</v>
      </c>
      <c r="AS8" s="6" t="str">
        <f t="shared" ref="AS8:AS54" si="21">IF(AQ8=0,"",(AP8)/(AQ8))</f>
        <v/>
      </c>
      <c r="AT8" s="5">
        <f t="shared" ref="AT8:AT54" si="22">((((((((((B8)+(F8))+(J8))+(N8))+(R8))+(V8))+(Z8))+(AD8))+(AH8))+(AL8))+(AP8)</f>
        <v>66.150000000000006</v>
      </c>
      <c r="AU8" s="5">
        <f t="shared" ref="AU8:AU54" si="23">((((((((((C8)+(G8))+(K8))+(O8))+(S8))+(W8))+(AA8))+(AE8))+(AI8))+(AM8))+(AQ8)</f>
        <v>0</v>
      </c>
      <c r="AV8" s="5">
        <f t="shared" ref="AV8:AV54" si="24">(AT8)-(AU8)</f>
        <v>66.150000000000006</v>
      </c>
      <c r="AW8" s="6" t="str">
        <f t="shared" ref="AW8:AW54" si="25">IF(AU8=0,"",(AT8)/(AU8))</f>
        <v/>
      </c>
    </row>
    <row r="9" spans="1:49" x14ac:dyDescent="0.25">
      <c r="A9" s="3" t="s">
        <v>18</v>
      </c>
      <c r="B9" s="5">
        <f>41</f>
        <v>41</v>
      </c>
      <c r="C9" s="5">
        <f>250</f>
        <v>250</v>
      </c>
      <c r="D9" s="5">
        <f t="shared" si="0"/>
        <v>-209</v>
      </c>
      <c r="E9" s="6">
        <f t="shared" si="1"/>
        <v>0.16400000000000001</v>
      </c>
      <c r="F9" s="5">
        <f>12</f>
        <v>12</v>
      </c>
      <c r="G9" s="5">
        <f>0</f>
        <v>0</v>
      </c>
      <c r="H9" s="5">
        <f t="shared" si="2"/>
        <v>12</v>
      </c>
      <c r="I9" s="6" t="str">
        <f t="shared" si="3"/>
        <v/>
      </c>
      <c r="J9" s="4"/>
      <c r="K9" s="5">
        <f>0</f>
        <v>0</v>
      </c>
      <c r="L9" s="5">
        <f t="shared" si="4"/>
        <v>0</v>
      </c>
      <c r="M9" s="6" t="str">
        <f t="shared" si="5"/>
        <v/>
      </c>
      <c r="N9" s="4"/>
      <c r="O9" s="5">
        <f>0</f>
        <v>0</v>
      </c>
      <c r="P9" s="5">
        <f t="shared" si="6"/>
        <v>0</v>
      </c>
      <c r="Q9" s="6" t="str">
        <f t="shared" si="7"/>
        <v/>
      </c>
      <c r="R9" s="4"/>
      <c r="S9" s="5">
        <f>0</f>
        <v>0</v>
      </c>
      <c r="T9" s="5">
        <f t="shared" si="8"/>
        <v>0</v>
      </c>
      <c r="U9" s="6" t="str">
        <f t="shared" si="9"/>
        <v/>
      </c>
      <c r="V9" s="5">
        <f>25</f>
        <v>25</v>
      </c>
      <c r="W9" s="5">
        <f>0</f>
        <v>0</v>
      </c>
      <c r="X9" s="5">
        <f t="shared" si="10"/>
        <v>25</v>
      </c>
      <c r="Y9" s="6" t="str">
        <f t="shared" si="11"/>
        <v/>
      </c>
      <c r="Z9" s="5">
        <f>14</f>
        <v>14</v>
      </c>
      <c r="AA9" s="5">
        <f>0</f>
        <v>0</v>
      </c>
      <c r="AB9" s="5">
        <f t="shared" si="12"/>
        <v>14</v>
      </c>
      <c r="AC9" s="6" t="str">
        <f t="shared" si="13"/>
        <v/>
      </c>
      <c r="AD9" s="5">
        <f>5</f>
        <v>5</v>
      </c>
      <c r="AE9" s="5">
        <f>0</f>
        <v>0</v>
      </c>
      <c r="AF9" s="5">
        <f t="shared" si="14"/>
        <v>5</v>
      </c>
      <c r="AG9" s="6" t="str">
        <f t="shared" si="15"/>
        <v/>
      </c>
      <c r="AH9" s="4"/>
      <c r="AI9" s="5">
        <f>0</f>
        <v>0</v>
      </c>
      <c r="AJ9" s="5">
        <f t="shared" si="16"/>
        <v>0</v>
      </c>
      <c r="AK9" s="6" t="str">
        <f t="shared" si="17"/>
        <v/>
      </c>
      <c r="AL9" s="5">
        <f>23</f>
        <v>23</v>
      </c>
      <c r="AM9" s="5">
        <f>0</f>
        <v>0</v>
      </c>
      <c r="AN9" s="5">
        <f t="shared" si="18"/>
        <v>23</v>
      </c>
      <c r="AO9" s="6" t="str">
        <f t="shared" si="19"/>
        <v/>
      </c>
      <c r="AP9" s="5">
        <f>17.15</f>
        <v>17.149999999999999</v>
      </c>
      <c r="AQ9" s="5">
        <f>0</f>
        <v>0</v>
      </c>
      <c r="AR9" s="5">
        <f t="shared" si="20"/>
        <v>17.149999999999999</v>
      </c>
      <c r="AS9" s="6" t="str">
        <f t="shared" si="21"/>
        <v/>
      </c>
      <c r="AT9" s="5">
        <f t="shared" si="22"/>
        <v>137.15</v>
      </c>
      <c r="AU9" s="5">
        <f t="shared" si="23"/>
        <v>250</v>
      </c>
      <c r="AV9" s="5">
        <f t="shared" si="24"/>
        <v>-112.85</v>
      </c>
      <c r="AW9" s="6">
        <f t="shared" si="25"/>
        <v>0.54859999999999998</v>
      </c>
    </row>
    <row r="10" spans="1:49" x14ac:dyDescent="0.25">
      <c r="A10" s="3" t="s">
        <v>19</v>
      </c>
      <c r="B10" s="5">
        <f>137</f>
        <v>137</v>
      </c>
      <c r="C10" s="5">
        <f>2300</f>
        <v>2300</v>
      </c>
      <c r="D10" s="5">
        <f t="shared" si="0"/>
        <v>-2163</v>
      </c>
      <c r="E10" s="6">
        <f t="shared" si="1"/>
        <v>5.9565217391304347E-2</v>
      </c>
      <c r="F10" s="5">
        <f>259.75</f>
        <v>259.75</v>
      </c>
      <c r="G10" s="5">
        <f>0</f>
        <v>0</v>
      </c>
      <c r="H10" s="5">
        <f t="shared" si="2"/>
        <v>259.75</v>
      </c>
      <c r="I10" s="6" t="str">
        <f t="shared" si="3"/>
        <v/>
      </c>
      <c r="J10" s="5">
        <f>217.05</f>
        <v>217.05</v>
      </c>
      <c r="K10" s="5">
        <f>0</f>
        <v>0</v>
      </c>
      <c r="L10" s="5">
        <f t="shared" si="4"/>
        <v>217.05</v>
      </c>
      <c r="M10" s="6" t="str">
        <f t="shared" si="5"/>
        <v/>
      </c>
      <c r="N10" s="5">
        <f>198.05</f>
        <v>198.05</v>
      </c>
      <c r="O10" s="5">
        <f>0</f>
        <v>0</v>
      </c>
      <c r="P10" s="5">
        <f t="shared" si="6"/>
        <v>198.05</v>
      </c>
      <c r="Q10" s="6" t="str">
        <f t="shared" si="7"/>
        <v/>
      </c>
      <c r="R10" s="5">
        <f>62.4</f>
        <v>62.4</v>
      </c>
      <c r="S10" s="5">
        <f>0</f>
        <v>0</v>
      </c>
      <c r="T10" s="5">
        <f t="shared" si="8"/>
        <v>62.4</v>
      </c>
      <c r="U10" s="6" t="str">
        <f t="shared" si="9"/>
        <v/>
      </c>
      <c r="V10" s="5">
        <f>319.05</f>
        <v>319.05</v>
      </c>
      <c r="W10" s="5">
        <f>0</f>
        <v>0</v>
      </c>
      <c r="X10" s="5">
        <f t="shared" si="10"/>
        <v>319.05</v>
      </c>
      <c r="Y10" s="6" t="str">
        <f t="shared" si="11"/>
        <v/>
      </c>
      <c r="Z10" s="5">
        <f>172.5</f>
        <v>172.5</v>
      </c>
      <c r="AA10" s="5">
        <f>0</f>
        <v>0</v>
      </c>
      <c r="AB10" s="5">
        <f t="shared" si="12"/>
        <v>172.5</v>
      </c>
      <c r="AC10" s="6" t="str">
        <f t="shared" si="13"/>
        <v/>
      </c>
      <c r="AD10" s="5">
        <f>237.25</f>
        <v>237.25</v>
      </c>
      <c r="AE10" s="5">
        <f>0</f>
        <v>0</v>
      </c>
      <c r="AF10" s="5">
        <f t="shared" si="14"/>
        <v>237.25</v>
      </c>
      <c r="AG10" s="6" t="str">
        <f t="shared" si="15"/>
        <v/>
      </c>
      <c r="AH10" s="5">
        <f>46.73</f>
        <v>46.73</v>
      </c>
      <c r="AI10" s="5">
        <f>0</f>
        <v>0</v>
      </c>
      <c r="AJ10" s="5">
        <f t="shared" si="16"/>
        <v>46.73</v>
      </c>
      <c r="AK10" s="6" t="str">
        <f t="shared" si="17"/>
        <v/>
      </c>
      <c r="AL10" s="5">
        <f>382.35</f>
        <v>382.35</v>
      </c>
      <c r="AM10" s="5">
        <f>0</f>
        <v>0</v>
      </c>
      <c r="AN10" s="5">
        <f t="shared" si="18"/>
        <v>382.35</v>
      </c>
      <c r="AO10" s="6" t="str">
        <f t="shared" si="19"/>
        <v/>
      </c>
      <c r="AP10" s="5">
        <f>227.07</f>
        <v>227.07</v>
      </c>
      <c r="AQ10" s="5">
        <f>0</f>
        <v>0</v>
      </c>
      <c r="AR10" s="5">
        <f t="shared" si="20"/>
        <v>227.07</v>
      </c>
      <c r="AS10" s="6" t="str">
        <f t="shared" si="21"/>
        <v/>
      </c>
      <c r="AT10" s="5">
        <f t="shared" si="22"/>
        <v>2259.2000000000003</v>
      </c>
      <c r="AU10" s="5">
        <f t="shared" si="23"/>
        <v>2300</v>
      </c>
      <c r="AV10" s="5">
        <f t="shared" si="24"/>
        <v>-40.799999999999727</v>
      </c>
      <c r="AW10" s="6">
        <f t="shared" si="25"/>
        <v>0.98226086956521752</v>
      </c>
    </row>
    <row r="11" spans="1:49" x14ac:dyDescent="0.25">
      <c r="A11" s="3" t="s">
        <v>20</v>
      </c>
      <c r="B11" s="4"/>
      <c r="C11" s="5">
        <f>50</f>
        <v>50</v>
      </c>
      <c r="D11" s="5">
        <f t="shared" si="0"/>
        <v>-50</v>
      </c>
      <c r="E11" s="6">
        <f t="shared" si="1"/>
        <v>0</v>
      </c>
      <c r="F11" s="5">
        <f>0.25</f>
        <v>0.25</v>
      </c>
      <c r="G11" s="5">
        <f>0</f>
        <v>0</v>
      </c>
      <c r="H11" s="5">
        <f t="shared" si="2"/>
        <v>0.25</v>
      </c>
      <c r="I11" s="6" t="str">
        <f t="shared" si="3"/>
        <v/>
      </c>
      <c r="J11" s="5">
        <f>6.75</f>
        <v>6.75</v>
      </c>
      <c r="K11" s="5">
        <f>0</f>
        <v>0</v>
      </c>
      <c r="L11" s="5">
        <f t="shared" si="4"/>
        <v>6.75</v>
      </c>
      <c r="M11" s="6" t="str">
        <f t="shared" si="5"/>
        <v/>
      </c>
      <c r="N11" s="5">
        <f>10.5</f>
        <v>10.5</v>
      </c>
      <c r="O11" s="5">
        <f>0</f>
        <v>0</v>
      </c>
      <c r="P11" s="5">
        <f t="shared" si="6"/>
        <v>10.5</v>
      </c>
      <c r="Q11" s="6" t="str">
        <f t="shared" si="7"/>
        <v/>
      </c>
      <c r="R11" s="5">
        <f>7.25</f>
        <v>7.25</v>
      </c>
      <c r="S11" s="5">
        <f>0</f>
        <v>0</v>
      </c>
      <c r="T11" s="5">
        <f t="shared" si="8"/>
        <v>7.25</v>
      </c>
      <c r="U11" s="6" t="str">
        <f t="shared" si="9"/>
        <v/>
      </c>
      <c r="V11" s="5">
        <f>1</f>
        <v>1</v>
      </c>
      <c r="W11" s="5">
        <f>0</f>
        <v>0</v>
      </c>
      <c r="X11" s="5">
        <f t="shared" si="10"/>
        <v>1</v>
      </c>
      <c r="Y11" s="6" t="str">
        <f t="shared" si="11"/>
        <v/>
      </c>
      <c r="Z11" s="5">
        <f>0.75</f>
        <v>0.75</v>
      </c>
      <c r="AA11" s="5">
        <f>0</f>
        <v>0</v>
      </c>
      <c r="AB11" s="5">
        <f t="shared" si="12"/>
        <v>0.75</v>
      </c>
      <c r="AC11" s="6" t="str">
        <f t="shared" si="13"/>
        <v/>
      </c>
      <c r="AD11" s="5">
        <f>8.5</f>
        <v>8.5</v>
      </c>
      <c r="AE11" s="5">
        <f>0</f>
        <v>0</v>
      </c>
      <c r="AF11" s="5">
        <f t="shared" si="14"/>
        <v>8.5</v>
      </c>
      <c r="AG11" s="6" t="str">
        <f t="shared" si="15"/>
        <v/>
      </c>
      <c r="AH11" s="4"/>
      <c r="AI11" s="5">
        <f>0</f>
        <v>0</v>
      </c>
      <c r="AJ11" s="5">
        <f t="shared" si="16"/>
        <v>0</v>
      </c>
      <c r="AK11" s="6" t="str">
        <f t="shared" si="17"/>
        <v/>
      </c>
      <c r="AL11" s="4"/>
      <c r="AM11" s="5">
        <f>0</f>
        <v>0</v>
      </c>
      <c r="AN11" s="5">
        <f t="shared" si="18"/>
        <v>0</v>
      </c>
      <c r="AO11" s="6" t="str">
        <f t="shared" si="19"/>
        <v/>
      </c>
      <c r="AP11" s="4"/>
      <c r="AQ11" s="5">
        <f>0</f>
        <v>0</v>
      </c>
      <c r="AR11" s="5">
        <f t="shared" si="20"/>
        <v>0</v>
      </c>
      <c r="AS11" s="6" t="str">
        <f t="shared" si="21"/>
        <v/>
      </c>
      <c r="AT11" s="5">
        <f t="shared" si="22"/>
        <v>35</v>
      </c>
      <c r="AU11" s="5">
        <f t="shared" si="23"/>
        <v>50</v>
      </c>
      <c r="AV11" s="5">
        <f t="shared" si="24"/>
        <v>-15</v>
      </c>
      <c r="AW11" s="6">
        <f t="shared" si="25"/>
        <v>0.7</v>
      </c>
    </row>
    <row r="12" spans="1:49" x14ac:dyDescent="0.25">
      <c r="A12" s="3" t="s">
        <v>21</v>
      </c>
      <c r="B12" s="4"/>
      <c r="C12" s="5">
        <f>150</f>
        <v>150</v>
      </c>
      <c r="D12" s="5">
        <f t="shared" si="0"/>
        <v>-150</v>
      </c>
      <c r="E12" s="6">
        <f t="shared" si="1"/>
        <v>0</v>
      </c>
      <c r="F12" s="5">
        <f>19</f>
        <v>19</v>
      </c>
      <c r="G12" s="5">
        <f>0</f>
        <v>0</v>
      </c>
      <c r="H12" s="5">
        <f t="shared" si="2"/>
        <v>19</v>
      </c>
      <c r="I12" s="6" t="str">
        <f t="shared" si="3"/>
        <v/>
      </c>
      <c r="J12" s="4"/>
      <c r="K12" s="5">
        <f>0</f>
        <v>0</v>
      </c>
      <c r="L12" s="5">
        <f t="shared" si="4"/>
        <v>0</v>
      </c>
      <c r="M12" s="6" t="str">
        <f t="shared" si="5"/>
        <v/>
      </c>
      <c r="N12" s="4"/>
      <c r="O12" s="5">
        <f>0</f>
        <v>0</v>
      </c>
      <c r="P12" s="5">
        <f t="shared" si="6"/>
        <v>0</v>
      </c>
      <c r="Q12" s="6" t="str">
        <f t="shared" si="7"/>
        <v/>
      </c>
      <c r="R12" s="5">
        <f>40.5</f>
        <v>40.5</v>
      </c>
      <c r="S12" s="5">
        <f>0</f>
        <v>0</v>
      </c>
      <c r="T12" s="5">
        <f t="shared" si="8"/>
        <v>40.5</v>
      </c>
      <c r="U12" s="6" t="str">
        <f t="shared" si="9"/>
        <v/>
      </c>
      <c r="V12" s="5">
        <f>106</f>
        <v>106</v>
      </c>
      <c r="W12" s="5">
        <f>0</f>
        <v>0</v>
      </c>
      <c r="X12" s="5">
        <f t="shared" si="10"/>
        <v>106</v>
      </c>
      <c r="Y12" s="6" t="str">
        <f t="shared" si="11"/>
        <v/>
      </c>
      <c r="Z12" s="4"/>
      <c r="AA12" s="5">
        <f>0</f>
        <v>0</v>
      </c>
      <c r="AB12" s="5">
        <f t="shared" si="12"/>
        <v>0</v>
      </c>
      <c r="AC12" s="6" t="str">
        <f t="shared" si="13"/>
        <v/>
      </c>
      <c r="AD12" s="5">
        <f>0</f>
        <v>0</v>
      </c>
      <c r="AE12" s="5">
        <f>0</f>
        <v>0</v>
      </c>
      <c r="AF12" s="5">
        <f t="shared" si="14"/>
        <v>0</v>
      </c>
      <c r="AG12" s="6" t="str">
        <f t="shared" si="15"/>
        <v/>
      </c>
      <c r="AH12" s="4"/>
      <c r="AI12" s="5">
        <f>0</f>
        <v>0</v>
      </c>
      <c r="AJ12" s="5">
        <f t="shared" si="16"/>
        <v>0</v>
      </c>
      <c r="AK12" s="6" t="str">
        <f t="shared" si="17"/>
        <v/>
      </c>
      <c r="AL12" s="4"/>
      <c r="AM12" s="5">
        <f>0</f>
        <v>0</v>
      </c>
      <c r="AN12" s="5">
        <f t="shared" si="18"/>
        <v>0</v>
      </c>
      <c r="AO12" s="6" t="str">
        <f t="shared" si="19"/>
        <v/>
      </c>
      <c r="AP12" s="4"/>
      <c r="AQ12" s="5">
        <f>0</f>
        <v>0</v>
      </c>
      <c r="AR12" s="5">
        <f t="shared" si="20"/>
        <v>0</v>
      </c>
      <c r="AS12" s="6" t="str">
        <f t="shared" si="21"/>
        <v/>
      </c>
      <c r="AT12" s="5">
        <f t="shared" si="22"/>
        <v>165.5</v>
      </c>
      <c r="AU12" s="5">
        <f t="shared" si="23"/>
        <v>150</v>
      </c>
      <c r="AV12" s="5">
        <f t="shared" si="24"/>
        <v>15.5</v>
      </c>
      <c r="AW12" s="6">
        <f t="shared" si="25"/>
        <v>1.1033333333333333</v>
      </c>
    </row>
    <row r="13" spans="1:49" x14ac:dyDescent="0.25">
      <c r="A13" s="3" t="s">
        <v>22</v>
      </c>
      <c r="B13" s="4"/>
      <c r="C13" s="5">
        <f>180</f>
        <v>180</v>
      </c>
      <c r="D13" s="5">
        <f t="shared" si="0"/>
        <v>-180</v>
      </c>
      <c r="E13" s="6">
        <f t="shared" si="1"/>
        <v>0</v>
      </c>
      <c r="F13" s="5">
        <f>15</f>
        <v>15</v>
      </c>
      <c r="G13" s="5">
        <f>0</f>
        <v>0</v>
      </c>
      <c r="H13" s="5">
        <f t="shared" si="2"/>
        <v>15</v>
      </c>
      <c r="I13" s="6" t="str">
        <f t="shared" si="3"/>
        <v/>
      </c>
      <c r="J13" s="5">
        <f>2</f>
        <v>2</v>
      </c>
      <c r="K13" s="5">
        <f>0</f>
        <v>0</v>
      </c>
      <c r="L13" s="5">
        <f t="shared" si="4"/>
        <v>2</v>
      </c>
      <c r="M13" s="6" t="str">
        <f t="shared" si="5"/>
        <v/>
      </c>
      <c r="N13" s="4"/>
      <c r="O13" s="5">
        <f>0</f>
        <v>0</v>
      </c>
      <c r="P13" s="5">
        <f t="shared" si="6"/>
        <v>0</v>
      </c>
      <c r="Q13" s="6" t="str">
        <f t="shared" si="7"/>
        <v/>
      </c>
      <c r="R13" s="5">
        <f>20</f>
        <v>20</v>
      </c>
      <c r="S13" s="5">
        <f>0</f>
        <v>0</v>
      </c>
      <c r="T13" s="5">
        <f t="shared" si="8"/>
        <v>20</v>
      </c>
      <c r="U13" s="6" t="str">
        <f t="shared" si="9"/>
        <v/>
      </c>
      <c r="V13" s="4"/>
      <c r="W13" s="5">
        <f>0</f>
        <v>0</v>
      </c>
      <c r="X13" s="5">
        <f t="shared" si="10"/>
        <v>0</v>
      </c>
      <c r="Y13" s="6" t="str">
        <f t="shared" si="11"/>
        <v/>
      </c>
      <c r="Z13" s="4"/>
      <c r="AA13" s="5">
        <f>0</f>
        <v>0</v>
      </c>
      <c r="AB13" s="5">
        <f t="shared" si="12"/>
        <v>0</v>
      </c>
      <c r="AC13" s="6" t="str">
        <f t="shared" si="13"/>
        <v/>
      </c>
      <c r="AD13" s="5">
        <f>20</f>
        <v>20</v>
      </c>
      <c r="AE13" s="5">
        <f>0</f>
        <v>0</v>
      </c>
      <c r="AF13" s="5">
        <f t="shared" si="14"/>
        <v>20</v>
      </c>
      <c r="AG13" s="6" t="str">
        <f t="shared" si="15"/>
        <v/>
      </c>
      <c r="AH13" s="4"/>
      <c r="AI13" s="5">
        <f>0</f>
        <v>0</v>
      </c>
      <c r="AJ13" s="5">
        <f t="shared" si="16"/>
        <v>0</v>
      </c>
      <c r="AK13" s="6" t="str">
        <f t="shared" si="17"/>
        <v/>
      </c>
      <c r="AL13" s="5">
        <f>15</f>
        <v>15</v>
      </c>
      <c r="AM13" s="5">
        <f>0</f>
        <v>0</v>
      </c>
      <c r="AN13" s="5">
        <f t="shared" si="18"/>
        <v>15</v>
      </c>
      <c r="AO13" s="6" t="str">
        <f t="shared" si="19"/>
        <v/>
      </c>
      <c r="AP13" s="4"/>
      <c r="AQ13" s="5">
        <f>0</f>
        <v>0</v>
      </c>
      <c r="AR13" s="5">
        <f t="shared" si="20"/>
        <v>0</v>
      </c>
      <c r="AS13" s="6" t="str">
        <f t="shared" si="21"/>
        <v/>
      </c>
      <c r="AT13" s="5">
        <f t="shared" si="22"/>
        <v>72</v>
      </c>
      <c r="AU13" s="5">
        <f t="shared" si="23"/>
        <v>180</v>
      </c>
      <c r="AV13" s="5">
        <f t="shared" si="24"/>
        <v>-108</v>
      </c>
      <c r="AW13" s="6">
        <f t="shared" si="25"/>
        <v>0.4</v>
      </c>
    </row>
    <row r="14" spans="1:49" x14ac:dyDescent="0.25">
      <c r="A14" s="3" t="s">
        <v>23</v>
      </c>
      <c r="B14" s="4"/>
      <c r="C14" s="5">
        <f>50</f>
        <v>50</v>
      </c>
      <c r="D14" s="5">
        <f t="shared" si="0"/>
        <v>-50</v>
      </c>
      <c r="E14" s="6">
        <f t="shared" si="1"/>
        <v>0</v>
      </c>
      <c r="F14" s="4"/>
      <c r="G14" s="5">
        <f>0</f>
        <v>0</v>
      </c>
      <c r="H14" s="5">
        <f t="shared" si="2"/>
        <v>0</v>
      </c>
      <c r="I14" s="6" t="str">
        <f t="shared" si="3"/>
        <v/>
      </c>
      <c r="J14" s="4"/>
      <c r="K14" s="5">
        <f>0</f>
        <v>0</v>
      </c>
      <c r="L14" s="5">
        <f t="shared" si="4"/>
        <v>0</v>
      </c>
      <c r="M14" s="6" t="str">
        <f t="shared" si="5"/>
        <v/>
      </c>
      <c r="N14" s="4"/>
      <c r="O14" s="5">
        <f>0</f>
        <v>0</v>
      </c>
      <c r="P14" s="5">
        <f t="shared" si="6"/>
        <v>0</v>
      </c>
      <c r="Q14" s="6" t="str">
        <f t="shared" si="7"/>
        <v/>
      </c>
      <c r="R14" s="4"/>
      <c r="S14" s="5">
        <f>0</f>
        <v>0</v>
      </c>
      <c r="T14" s="5">
        <f t="shared" si="8"/>
        <v>0</v>
      </c>
      <c r="U14" s="6" t="str">
        <f t="shared" si="9"/>
        <v/>
      </c>
      <c r="V14" s="4"/>
      <c r="W14" s="5">
        <f>0</f>
        <v>0</v>
      </c>
      <c r="X14" s="5">
        <f t="shared" si="10"/>
        <v>0</v>
      </c>
      <c r="Y14" s="6" t="str">
        <f t="shared" si="11"/>
        <v/>
      </c>
      <c r="Z14" s="4"/>
      <c r="AA14" s="5">
        <f>0</f>
        <v>0</v>
      </c>
      <c r="AB14" s="5">
        <f t="shared" si="12"/>
        <v>0</v>
      </c>
      <c r="AC14" s="6" t="str">
        <f t="shared" si="13"/>
        <v/>
      </c>
      <c r="AD14" s="5">
        <f>20.07</f>
        <v>20.07</v>
      </c>
      <c r="AE14" s="5">
        <f>0</f>
        <v>0</v>
      </c>
      <c r="AF14" s="5">
        <f t="shared" si="14"/>
        <v>20.07</v>
      </c>
      <c r="AG14" s="6" t="str">
        <f t="shared" si="15"/>
        <v/>
      </c>
      <c r="AH14" s="4"/>
      <c r="AI14" s="5">
        <f>0</f>
        <v>0</v>
      </c>
      <c r="AJ14" s="5">
        <f t="shared" si="16"/>
        <v>0</v>
      </c>
      <c r="AK14" s="6" t="str">
        <f t="shared" si="17"/>
        <v/>
      </c>
      <c r="AL14" s="4"/>
      <c r="AM14" s="5">
        <f>0</f>
        <v>0</v>
      </c>
      <c r="AN14" s="5">
        <f t="shared" si="18"/>
        <v>0</v>
      </c>
      <c r="AO14" s="6" t="str">
        <f t="shared" si="19"/>
        <v/>
      </c>
      <c r="AP14" s="4"/>
      <c r="AQ14" s="5">
        <f>0</f>
        <v>0</v>
      </c>
      <c r="AR14" s="5">
        <f t="shared" si="20"/>
        <v>0</v>
      </c>
      <c r="AS14" s="6" t="str">
        <f t="shared" si="21"/>
        <v/>
      </c>
      <c r="AT14" s="5">
        <f t="shared" si="22"/>
        <v>20.07</v>
      </c>
      <c r="AU14" s="5">
        <f t="shared" si="23"/>
        <v>50</v>
      </c>
      <c r="AV14" s="5">
        <f t="shared" si="24"/>
        <v>-29.93</v>
      </c>
      <c r="AW14" s="6">
        <f t="shared" si="25"/>
        <v>0.40139999999999998</v>
      </c>
    </row>
    <row r="15" spans="1:49" x14ac:dyDescent="0.25">
      <c r="A15" s="3" t="s">
        <v>24</v>
      </c>
      <c r="B15" s="4"/>
      <c r="C15" s="4"/>
      <c r="D15" s="5">
        <f t="shared" si="0"/>
        <v>0</v>
      </c>
      <c r="E15" s="6" t="str">
        <f t="shared" si="1"/>
        <v/>
      </c>
      <c r="F15" s="4"/>
      <c r="G15" s="4"/>
      <c r="H15" s="5">
        <f t="shared" si="2"/>
        <v>0</v>
      </c>
      <c r="I15" s="6" t="str">
        <f t="shared" si="3"/>
        <v/>
      </c>
      <c r="J15" s="4"/>
      <c r="K15" s="4"/>
      <c r="L15" s="5">
        <f t="shared" si="4"/>
        <v>0</v>
      </c>
      <c r="M15" s="6" t="str">
        <f t="shared" si="5"/>
        <v/>
      </c>
      <c r="N15" s="4"/>
      <c r="O15" s="4"/>
      <c r="P15" s="5">
        <f t="shared" si="6"/>
        <v>0</v>
      </c>
      <c r="Q15" s="6" t="str">
        <f t="shared" si="7"/>
        <v/>
      </c>
      <c r="R15" s="4"/>
      <c r="S15" s="4"/>
      <c r="T15" s="5">
        <f t="shared" si="8"/>
        <v>0</v>
      </c>
      <c r="U15" s="6" t="str">
        <f t="shared" si="9"/>
        <v/>
      </c>
      <c r="V15" s="5">
        <f>57.5</f>
        <v>57.5</v>
      </c>
      <c r="W15" s="4"/>
      <c r="X15" s="5">
        <f t="shared" si="10"/>
        <v>57.5</v>
      </c>
      <c r="Y15" s="6" t="str">
        <f t="shared" si="11"/>
        <v/>
      </c>
      <c r="Z15" s="4"/>
      <c r="AA15" s="4"/>
      <c r="AB15" s="5">
        <f t="shared" si="12"/>
        <v>0</v>
      </c>
      <c r="AC15" s="6" t="str">
        <f t="shared" si="13"/>
        <v/>
      </c>
      <c r="AD15" s="4"/>
      <c r="AE15" s="4"/>
      <c r="AF15" s="5">
        <f t="shared" si="14"/>
        <v>0</v>
      </c>
      <c r="AG15" s="6" t="str">
        <f t="shared" si="15"/>
        <v/>
      </c>
      <c r="AH15" s="5">
        <f>-117.5</f>
        <v>-117.5</v>
      </c>
      <c r="AI15" s="4"/>
      <c r="AJ15" s="5">
        <f t="shared" si="16"/>
        <v>-117.5</v>
      </c>
      <c r="AK15" s="6" t="str">
        <f t="shared" si="17"/>
        <v/>
      </c>
      <c r="AL15" s="4"/>
      <c r="AM15" s="4"/>
      <c r="AN15" s="5">
        <f t="shared" si="18"/>
        <v>0</v>
      </c>
      <c r="AO15" s="6" t="str">
        <f t="shared" si="19"/>
        <v/>
      </c>
      <c r="AP15" s="4"/>
      <c r="AQ15" s="4"/>
      <c r="AR15" s="5">
        <f t="shared" si="20"/>
        <v>0</v>
      </c>
      <c r="AS15" s="6" t="str">
        <f t="shared" si="21"/>
        <v/>
      </c>
      <c r="AT15" s="5">
        <f t="shared" si="22"/>
        <v>-60</v>
      </c>
      <c r="AU15" s="5">
        <f t="shared" si="23"/>
        <v>0</v>
      </c>
      <c r="AV15" s="5">
        <f t="shared" si="24"/>
        <v>-60</v>
      </c>
      <c r="AW15" s="6" t="str">
        <f t="shared" si="25"/>
        <v/>
      </c>
    </row>
    <row r="16" spans="1:49" x14ac:dyDescent="0.25">
      <c r="A16" s="3" t="s">
        <v>25</v>
      </c>
      <c r="B16" s="7">
        <f>(B14)+(B15)</f>
        <v>0</v>
      </c>
      <c r="C16" s="7">
        <f>(C14)+(C15)</f>
        <v>50</v>
      </c>
      <c r="D16" s="7">
        <f t="shared" si="0"/>
        <v>-50</v>
      </c>
      <c r="E16" s="8">
        <f t="shared" si="1"/>
        <v>0</v>
      </c>
      <c r="F16" s="7">
        <f>(F14)+(F15)</f>
        <v>0</v>
      </c>
      <c r="G16" s="7">
        <f>(G14)+(G15)</f>
        <v>0</v>
      </c>
      <c r="H16" s="7">
        <f t="shared" si="2"/>
        <v>0</v>
      </c>
      <c r="I16" s="8" t="str">
        <f t="shared" si="3"/>
        <v/>
      </c>
      <c r="J16" s="7">
        <f>(J14)+(J15)</f>
        <v>0</v>
      </c>
      <c r="K16" s="7">
        <f>(K14)+(K15)</f>
        <v>0</v>
      </c>
      <c r="L16" s="7">
        <f t="shared" si="4"/>
        <v>0</v>
      </c>
      <c r="M16" s="8" t="str">
        <f t="shared" si="5"/>
        <v/>
      </c>
      <c r="N16" s="7">
        <f>(N14)+(N15)</f>
        <v>0</v>
      </c>
      <c r="O16" s="7">
        <f>(O14)+(O15)</f>
        <v>0</v>
      </c>
      <c r="P16" s="7">
        <f t="shared" si="6"/>
        <v>0</v>
      </c>
      <c r="Q16" s="8" t="str">
        <f t="shared" si="7"/>
        <v/>
      </c>
      <c r="R16" s="7">
        <f>(R14)+(R15)</f>
        <v>0</v>
      </c>
      <c r="S16" s="7">
        <f>(S14)+(S15)</f>
        <v>0</v>
      </c>
      <c r="T16" s="7">
        <f t="shared" si="8"/>
        <v>0</v>
      </c>
      <c r="U16" s="8" t="str">
        <f t="shared" si="9"/>
        <v/>
      </c>
      <c r="V16" s="7">
        <f>(V14)+(V15)</f>
        <v>57.5</v>
      </c>
      <c r="W16" s="7">
        <f>(W14)+(W15)</f>
        <v>0</v>
      </c>
      <c r="X16" s="7">
        <f t="shared" si="10"/>
        <v>57.5</v>
      </c>
      <c r="Y16" s="8" t="str">
        <f t="shared" si="11"/>
        <v/>
      </c>
      <c r="Z16" s="7">
        <f>(Z14)+(Z15)</f>
        <v>0</v>
      </c>
      <c r="AA16" s="7">
        <f>(AA14)+(AA15)</f>
        <v>0</v>
      </c>
      <c r="AB16" s="7">
        <f t="shared" si="12"/>
        <v>0</v>
      </c>
      <c r="AC16" s="8" t="str">
        <f t="shared" si="13"/>
        <v/>
      </c>
      <c r="AD16" s="7">
        <f>(AD14)+(AD15)</f>
        <v>20.07</v>
      </c>
      <c r="AE16" s="7">
        <f>(AE14)+(AE15)</f>
        <v>0</v>
      </c>
      <c r="AF16" s="7">
        <f t="shared" si="14"/>
        <v>20.07</v>
      </c>
      <c r="AG16" s="8" t="str">
        <f t="shared" si="15"/>
        <v/>
      </c>
      <c r="AH16" s="7">
        <f>(AH14)+(AH15)</f>
        <v>-117.5</v>
      </c>
      <c r="AI16" s="7">
        <f>(AI14)+(AI15)</f>
        <v>0</v>
      </c>
      <c r="AJ16" s="7">
        <f t="shared" si="16"/>
        <v>-117.5</v>
      </c>
      <c r="AK16" s="8" t="str">
        <f t="shared" si="17"/>
        <v/>
      </c>
      <c r="AL16" s="7">
        <f>(AL14)+(AL15)</f>
        <v>0</v>
      </c>
      <c r="AM16" s="7">
        <f>(AM14)+(AM15)</f>
        <v>0</v>
      </c>
      <c r="AN16" s="7">
        <f t="shared" si="18"/>
        <v>0</v>
      </c>
      <c r="AO16" s="8" t="str">
        <f t="shared" si="19"/>
        <v/>
      </c>
      <c r="AP16" s="7">
        <f>(AP14)+(AP15)</f>
        <v>0</v>
      </c>
      <c r="AQ16" s="7">
        <f>(AQ14)+(AQ15)</f>
        <v>0</v>
      </c>
      <c r="AR16" s="7">
        <f t="shared" si="20"/>
        <v>0</v>
      </c>
      <c r="AS16" s="8" t="str">
        <f t="shared" si="21"/>
        <v/>
      </c>
      <c r="AT16" s="7">
        <f t="shared" si="22"/>
        <v>-39.930000000000007</v>
      </c>
      <c r="AU16" s="7">
        <f t="shared" si="23"/>
        <v>50</v>
      </c>
      <c r="AV16" s="7">
        <f t="shared" si="24"/>
        <v>-89.93</v>
      </c>
      <c r="AW16" s="8">
        <f t="shared" si="25"/>
        <v>-0.79860000000000009</v>
      </c>
    </row>
    <row r="17" spans="1:49" x14ac:dyDescent="0.25">
      <c r="A17" s="3" t="s">
        <v>26</v>
      </c>
      <c r="B17" s="4"/>
      <c r="C17" s="4"/>
      <c r="D17" s="5">
        <f t="shared" si="0"/>
        <v>0</v>
      </c>
      <c r="E17" s="6" t="str">
        <f t="shared" si="1"/>
        <v/>
      </c>
      <c r="F17" s="4"/>
      <c r="G17" s="4"/>
      <c r="H17" s="5">
        <f t="shared" si="2"/>
        <v>0</v>
      </c>
      <c r="I17" s="6" t="str">
        <f t="shared" si="3"/>
        <v/>
      </c>
      <c r="J17" s="4"/>
      <c r="K17" s="4"/>
      <c r="L17" s="5">
        <f t="shared" si="4"/>
        <v>0</v>
      </c>
      <c r="M17" s="6" t="str">
        <f t="shared" si="5"/>
        <v/>
      </c>
      <c r="N17" s="4"/>
      <c r="O17" s="4"/>
      <c r="P17" s="5">
        <f t="shared" si="6"/>
        <v>0</v>
      </c>
      <c r="Q17" s="6" t="str">
        <f t="shared" si="7"/>
        <v/>
      </c>
      <c r="R17" s="4"/>
      <c r="S17" s="4"/>
      <c r="T17" s="5">
        <f t="shared" si="8"/>
        <v>0</v>
      </c>
      <c r="U17" s="6" t="str">
        <f t="shared" si="9"/>
        <v/>
      </c>
      <c r="V17" s="4"/>
      <c r="W17" s="4"/>
      <c r="X17" s="5">
        <f t="shared" si="10"/>
        <v>0</v>
      </c>
      <c r="Y17" s="6" t="str">
        <f t="shared" si="11"/>
        <v/>
      </c>
      <c r="Z17" s="5">
        <f>30</f>
        <v>30</v>
      </c>
      <c r="AA17" s="4"/>
      <c r="AB17" s="5">
        <f t="shared" si="12"/>
        <v>30</v>
      </c>
      <c r="AC17" s="6" t="str">
        <f t="shared" si="13"/>
        <v/>
      </c>
      <c r="AD17" s="5">
        <f>16.5</f>
        <v>16.5</v>
      </c>
      <c r="AE17" s="4"/>
      <c r="AF17" s="5">
        <f t="shared" si="14"/>
        <v>16.5</v>
      </c>
      <c r="AG17" s="6" t="str">
        <f t="shared" si="15"/>
        <v/>
      </c>
      <c r="AH17" s="4"/>
      <c r="AI17" s="4"/>
      <c r="AJ17" s="5">
        <f t="shared" si="16"/>
        <v>0</v>
      </c>
      <c r="AK17" s="6" t="str">
        <f t="shared" si="17"/>
        <v/>
      </c>
      <c r="AL17" s="5">
        <f>75</f>
        <v>75</v>
      </c>
      <c r="AM17" s="4"/>
      <c r="AN17" s="5">
        <f t="shared" si="18"/>
        <v>75</v>
      </c>
      <c r="AO17" s="6" t="str">
        <f t="shared" si="19"/>
        <v/>
      </c>
      <c r="AP17" s="4"/>
      <c r="AQ17" s="4"/>
      <c r="AR17" s="5">
        <f t="shared" si="20"/>
        <v>0</v>
      </c>
      <c r="AS17" s="6" t="str">
        <f t="shared" si="21"/>
        <v/>
      </c>
      <c r="AT17" s="5">
        <f t="shared" si="22"/>
        <v>121.5</v>
      </c>
      <c r="AU17" s="5">
        <f t="shared" si="23"/>
        <v>0</v>
      </c>
      <c r="AV17" s="5">
        <f t="shared" si="24"/>
        <v>121.5</v>
      </c>
      <c r="AW17" s="6" t="str">
        <f t="shared" si="25"/>
        <v/>
      </c>
    </row>
    <row r="18" spans="1:49" x14ac:dyDescent="0.25">
      <c r="A18" s="3" t="s">
        <v>27</v>
      </c>
      <c r="B18" s="7">
        <f>(((((((B8)+(B9))+(B10))+(B11))+(B12))+(B13))+(B16))+(B17)</f>
        <v>178</v>
      </c>
      <c r="C18" s="7">
        <f>(((((((C8)+(C9))+(C10))+(C11))+(C12))+(C13))+(C16))+(C17)</f>
        <v>2980</v>
      </c>
      <c r="D18" s="7">
        <f t="shared" si="0"/>
        <v>-2802</v>
      </c>
      <c r="E18" s="8">
        <f t="shared" si="1"/>
        <v>5.9731543624161075E-2</v>
      </c>
      <c r="F18" s="7">
        <f>(((((((F8)+(F9))+(F10))+(F11))+(F12))+(F13))+(F16))+(F17)</f>
        <v>306</v>
      </c>
      <c r="G18" s="7">
        <f>(((((((G8)+(G9))+(G10))+(G11))+(G12))+(G13))+(G16))+(G17)</f>
        <v>0</v>
      </c>
      <c r="H18" s="7">
        <f t="shared" si="2"/>
        <v>306</v>
      </c>
      <c r="I18" s="8" t="str">
        <f t="shared" si="3"/>
        <v/>
      </c>
      <c r="J18" s="7">
        <f>(((((((J8)+(J9))+(J10))+(J11))+(J12))+(J13))+(J16))+(J17)</f>
        <v>225.8</v>
      </c>
      <c r="K18" s="7">
        <f>(((((((K8)+(K9))+(K10))+(K11))+(K12))+(K13))+(K16))+(K17)</f>
        <v>0</v>
      </c>
      <c r="L18" s="7">
        <f t="shared" si="4"/>
        <v>225.8</v>
      </c>
      <c r="M18" s="8" t="str">
        <f t="shared" si="5"/>
        <v/>
      </c>
      <c r="N18" s="7">
        <f>(((((((N8)+(N9))+(N10))+(N11))+(N12))+(N13))+(N16))+(N17)</f>
        <v>208.55</v>
      </c>
      <c r="O18" s="7">
        <f>(((((((O8)+(O9))+(O10))+(O11))+(O12))+(O13))+(O16))+(O17)</f>
        <v>0</v>
      </c>
      <c r="P18" s="7">
        <f t="shared" si="6"/>
        <v>208.55</v>
      </c>
      <c r="Q18" s="8" t="str">
        <f t="shared" si="7"/>
        <v/>
      </c>
      <c r="R18" s="7">
        <f>(((((((R8)+(R9))+(R10))+(R11))+(R12))+(R13))+(R16))+(R17)</f>
        <v>130.15</v>
      </c>
      <c r="S18" s="7">
        <f>(((((((S8)+(S9))+(S10))+(S11))+(S12))+(S13))+(S16))+(S17)</f>
        <v>0</v>
      </c>
      <c r="T18" s="7">
        <f t="shared" si="8"/>
        <v>130.15</v>
      </c>
      <c r="U18" s="8" t="str">
        <f t="shared" si="9"/>
        <v/>
      </c>
      <c r="V18" s="7">
        <f>(((((((V8)+(V9))+(V10))+(V11))+(V12))+(V13))+(V16))+(V17)</f>
        <v>508.55</v>
      </c>
      <c r="W18" s="7">
        <f>(((((((W8)+(W9))+(W10))+(W11))+(W12))+(W13))+(W16))+(W17)</f>
        <v>0</v>
      </c>
      <c r="X18" s="7">
        <f t="shared" si="10"/>
        <v>508.55</v>
      </c>
      <c r="Y18" s="8" t="str">
        <f t="shared" si="11"/>
        <v/>
      </c>
      <c r="Z18" s="7">
        <f>(((((((Z8)+(Z9))+(Z10))+(Z11))+(Z12))+(Z13))+(Z16))+(Z17)</f>
        <v>217.25</v>
      </c>
      <c r="AA18" s="7">
        <f>(((((((AA8)+(AA9))+(AA10))+(AA11))+(AA12))+(AA13))+(AA16))+(AA17)</f>
        <v>0</v>
      </c>
      <c r="AB18" s="7">
        <f t="shared" si="12"/>
        <v>217.25</v>
      </c>
      <c r="AC18" s="8" t="str">
        <f t="shared" si="13"/>
        <v/>
      </c>
      <c r="AD18" s="7">
        <f>(((((((AD8)+(AD9))+(AD10))+(AD11))+(AD12))+(AD13))+(AD16))+(AD17)</f>
        <v>373.46999999999997</v>
      </c>
      <c r="AE18" s="7">
        <f>(((((((AE8)+(AE9))+(AE10))+(AE11))+(AE12))+(AE13))+(AE16))+(AE17)</f>
        <v>0</v>
      </c>
      <c r="AF18" s="7">
        <f t="shared" si="14"/>
        <v>373.46999999999997</v>
      </c>
      <c r="AG18" s="8" t="str">
        <f t="shared" si="15"/>
        <v/>
      </c>
      <c r="AH18" s="7">
        <f>(((((((AH8)+(AH9))+(AH10))+(AH11))+(AH12))+(AH13))+(AH16))+(AH17)</f>
        <v>-70.77000000000001</v>
      </c>
      <c r="AI18" s="7">
        <f>(((((((AI8)+(AI9))+(AI10))+(AI11))+(AI12))+(AI13))+(AI16))+(AI17)</f>
        <v>0</v>
      </c>
      <c r="AJ18" s="7">
        <f t="shared" si="16"/>
        <v>-70.77000000000001</v>
      </c>
      <c r="AK18" s="8" t="str">
        <f t="shared" si="17"/>
        <v/>
      </c>
      <c r="AL18" s="7">
        <f>(((((((AL8)+(AL9))+(AL10))+(AL11))+(AL12))+(AL13))+(AL16))+(AL17)</f>
        <v>495.35</v>
      </c>
      <c r="AM18" s="7">
        <f>(((((((AM8)+(AM9))+(AM10))+(AM11))+(AM12))+(AM13))+(AM16))+(AM17)</f>
        <v>0</v>
      </c>
      <c r="AN18" s="7">
        <f t="shared" si="18"/>
        <v>495.35</v>
      </c>
      <c r="AO18" s="8" t="str">
        <f t="shared" si="19"/>
        <v/>
      </c>
      <c r="AP18" s="7">
        <f>(((((((AP8)+(AP9))+(AP10))+(AP11))+(AP12))+(AP13))+(AP16))+(AP17)</f>
        <v>244.22</v>
      </c>
      <c r="AQ18" s="7">
        <f>(((((((AQ8)+(AQ9))+(AQ10))+(AQ11))+(AQ12))+(AQ13))+(AQ16))+(AQ17)</f>
        <v>0</v>
      </c>
      <c r="AR18" s="7">
        <f t="shared" si="20"/>
        <v>244.22</v>
      </c>
      <c r="AS18" s="8" t="str">
        <f t="shared" si="21"/>
        <v/>
      </c>
      <c r="AT18" s="7">
        <f t="shared" si="22"/>
        <v>2816.5699999999997</v>
      </c>
      <c r="AU18" s="7">
        <f t="shared" si="23"/>
        <v>2980</v>
      </c>
      <c r="AV18" s="7">
        <f t="shared" si="24"/>
        <v>-163.43000000000029</v>
      </c>
      <c r="AW18" s="8">
        <f t="shared" si="25"/>
        <v>0.94515771812080529</v>
      </c>
    </row>
    <row r="19" spans="1:49" x14ac:dyDescent="0.25">
      <c r="A19" s="3" t="s">
        <v>28</v>
      </c>
      <c r="B19" s="4"/>
      <c r="C19" s="4"/>
      <c r="D19" s="5">
        <f t="shared" si="0"/>
        <v>0</v>
      </c>
      <c r="E19" s="6" t="str">
        <f t="shared" si="1"/>
        <v/>
      </c>
      <c r="F19" s="4"/>
      <c r="G19" s="4"/>
      <c r="H19" s="5">
        <f t="shared" si="2"/>
        <v>0</v>
      </c>
      <c r="I19" s="6" t="str">
        <f t="shared" si="3"/>
        <v/>
      </c>
      <c r="J19" s="4"/>
      <c r="K19" s="4"/>
      <c r="L19" s="5">
        <f t="shared" si="4"/>
        <v>0</v>
      </c>
      <c r="M19" s="6" t="str">
        <f t="shared" si="5"/>
        <v/>
      </c>
      <c r="N19" s="5">
        <f>0.9</f>
        <v>0.9</v>
      </c>
      <c r="O19" s="4"/>
      <c r="P19" s="5">
        <f t="shared" si="6"/>
        <v>0.9</v>
      </c>
      <c r="Q19" s="6" t="str">
        <f t="shared" si="7"/>
        <v/>
      </c>
      <c r="R19" s="4"/>
      <c r="S19" s="4"/>
      <c r="T19" s="5">
        <f t="shared" si="8"/>
        <v>0</v>
      </c>
      <c r="U19" s="6" t="str">
        <f t="shared" si="9"/>
        <v/>
      </c>
      <c r="V19" s="5">
        <f>115.75</f>
        <v>115.75</v>
      </c>
      <c r="W19" s="4"/>
      <c r="X19" s="5">
        <f t="shared" si="10"/>
        <v>115.75</v>
      </c>
      <c r="Y19" s="6" t="str">
        <f t="shared" si="11"/>
        <v/>
      </c>
      <c r="Z19" s="5">
        <f>12.82</f>
        <v>12.82</v>
      </c>
      <c r="AA19" s="4"/>
      <c r="AB19" s="5">
        <f t="shared" si="12"/>
        <v>12.82</v>
      </c>
      <c r="AC19" s="6" t="str">
        <f t="shared" si="13"/>
        <v/>
      </c>
      <c r="AD19" s="4"/>
      <c r="AE19" s="4"/>
      <c r="AF19" s="5">
        <f t="shared" si="14"/>
        <v>0</v>
      </c>
      <c r="AG19" s="6" t="str">
        <f t="shared" si="15"/>
        <v/>
      </c>
      <c r="AH19" s="5">
        <f>3.8</f>
        <v>3.8</v>
      </c>
      <c r="AI19" s="4"/>
      <c r="AJ19" s="5">
        <f t="shared" si="16"/>
        <v>3.8</v>
      </c>
      <c r="AK19" s="6" t="str">
        <f t="shared" si="17"/>
        <v/>
      </c>
      <c r="AL19" s="5">
        <f>-17.17</f>
        <v>-17.170000000000002</v>
      </c>
      <c r="AM19" s="4"/>
      <c r="AN19" s="5">
        <f t="shared" si="18"/>
        <v>-17.170000000000002</v>
      </c>
      <c r="AO19" s="6" t="str">
        <f t="shared" si="19"/>
        <v/>
      </c>
      <c r="AP19" s="4"/>
      <c r="AQ19" s="4"/>
      <c r="AR19" s="5">
        <f t="shared" si="20"/>
        <v>0</v>
      </c>
      <c r="AS19" s="6" t="str">
        <f t="shared" si="21"/>
        <v/>
      </c>
      <c r="AT19" s="5">
        <f t="shared" si="22"/>
        <v>116.10000000000001</v>
      </c>
      <c r="AU19" s="5">
        <f t="shared" si="23"/>
        <v>0</v>
      </c>
      <c r="AV19" s="5">
        <f t="shared" si="24"/>
        <v>116.10000000000001</v>
      </c>
      <c r="AW19" s="6" t="str">
        <f t="shared" si="25"/>
        <v/>
      </c>
    </row>
    <row r="20" spans="1:49" x14ac:dyDescent="0.25">
      <c r="A20" s="3" t="s">
        <v>29</v>
      </c>
      <c r="B20" s="5">
        <f>240</f>
        <v>240</v>
      </c>
      <c r="C20" s="5">
        <f>2880</f>
        <v>2880</v>
      </c>
      <c r="D20" s="5">
        <f t="shared" si="0"/>
        <v>-2640</v>
      </c>
      <c r="E20" s="6">
        <f t="shared" si="1"/>
        <v>8.3333333333333329E-2</v>
      </c>
      <c r="F20" s="5">
        <f>240</f>
        <v>240</v>
      </c>
      <c r="G20" s="5">
        <f>0</f>
        <v>0</v>
      </c>
      <c r="H20" s="5">
        <f t="shared" si="2"/>
        <v>240</v>
      </c>
      <c r="I20" s="6" t="str">
        <f t="shared" si="3"/>
        <v/>
      </c>
      <c r="J20" s="5">
        <f>240</f>
        <v>240</v>
      </c>
      <c r="K20" s="5">
        <f>0</f>
        <v>0</v>
      </c>
      <c r="L20" s="5">
        <f t="shared" si="4"/>
        <v>240</v>
      </c>
      <c r="M20" s="6" t="str">
        <f t="shared" si="5"/>
        <v/>
      </c>
      <c r="N20" s="5">
        <f>240</f>
        <v>240</v>
      </c>
      <c r="O20" s="5">
        <f>0</f>
        <v>0</v>
      </c>
      <c r="P20" s="5">
        <f t="shared" si="6"/>
        <v>240</v>
      </c>
      <c r="Q20" s="6" t="str">
        <f t="shared" si="7"/>
        <v/>
      </c>
      <c r="R20" s="5">
        <f>240</f>
        <v>240</v>
      </c>
      <c r="S20" s="5">
        <f>0</f>
        <v>0</v>
      </c>
      <c r="T20" s="5">
        <f t="shared" si="8"/>
        <v>240</v>
      </c>
      <c r="U20" s="6" t="str">
        <f t="shared" si="9"/>
        <v/>
      </c>
      <c r="V20" s="5">
        <f>240</f>
        <v>240</v>
      </c>
      <c r="W20" s="5">
        <f>0</f>
        <v>0</v>
      </c>
      <c r="X20" s="5">
        <f t="shared" si="10"/>
        <v>240</v>
      </c>
      <c r="Y20" s="6" t="str">
        <f t="shared" si="11"/>
        <v/>
      </c>
      <c r="Z20" s="5">
        <f>240</f>
        <v>240</v>
      </c>
      <c r="AA20" s="5">
        <f>0</f>
        <v>0</v>
      </c>
      <c r="AB20" s="5">
        <f t="shared" si="12"/>
        <v>240</v>
      </c>
      <c r="AC20" s="6" t="str">
        <f t="shared" si="13"/>
        <v/>
      </c>
      <c r="AD20" s="5">
        <f>240</f>
        <v>240</v>
      </c>
      <c r="AE20" s="5">
        <f>0</f>
        <v>0</v>
      </c>
      <c r="AF20" s="5">
        <f t="shared" si="14"/>
        <v>240</v>
      </c>
      <c r="AG20" s="6" t="str">
        <f t="shared" si="15"/>
        <v/>
      </c>
      <c r="AH20" s="5">
        <f>240</f>
        <v>240</v>
      </c>
      <c r="AI20" s="5">
        <f>0</f>
        <v>0</v>
      </c>
      <c r="AJ20" s="5">
        <f t="shared" si="16"/>
        <v>240</v>
      </c>
      <c r="AK20" s="6" t="str">
        <f t="shared" si="17"/>
        <v/>
      </c>
      <c r="AL20" s="5">
        <f>240</f>
        <v>240</v>
      </c>
      <c r="AM20" s="5">
        <f>0</f>
        <v>0</v>
      </c>
      <c r="AN20" s="5">
        <f t="shared" si="18"/>
        <v>240</v>
      </c>
      <c r="AO20" s="6" t="str">
        <f t="shared" si="19"/>
        <v/>
      </c>
      <c r="AP20" s="5">
        <f>240</f>
        <v>240</v>
      </c>
      <c r="AQ20" s="5">
        <f>0</f>
        <v>0</v>
      </c>
      <c r="AR20" s="5">
        <f t="shared" si="20"/>
        <v>240</v>
      </c>
      <c r="AS20" s="6" t="str">
        <f t="shared" si="21"/>
        <v/>
      </c>
      <c r="AT20" s="5">
        <f t="shared" si="22"/>
        <v>2640</v>
      </c>
      <c r="AU20" s="5">
        <f t="shared" si="23"/>
        <v>2880</v>
      </c>
      <c r="AV20" s="5">
        <f t="shared" si="24"/>
        <v>-240</v>
      </c>
      <c r="AW20" s="6">
        <f t="shared" si="25"/>
        <v>0.91666666666666663</v>
      </c>
    </row>
    <row r="21" spans="1:49" x14ac:dyDescent="0.25">
      <c r="A21" s="3" t="s">
        <v>30</v>
      </c>
      <c r="B21" s="5">
        <f>107.5</f>
        <v>107.5</v>
      </c>
      <c r="C21" s="4"/>
      <c r="D21" s="5">
        <f t="shared" si="0"/>
        <v>107.5</v>
      </c>
      <c r="E21" s="6" t="str">
        <f t="shared" si="1"/>
        <v/>
      </c>
      <c r="F21" s="4"/>
      <c r="G21" s="4"/>
      <c r="H21" s="5">
        <f t="shared" si="2"/>
        <v>0</v>
      </c>
      <c r="I21" s="6" t="str">
        <f t="shared" si="3"/>
        <v/>
      </c>
      <c r="J21" s="5">
        <f>21.8</f>
        <v>21.8</v>
      </c>
      <c r="K21" s="4"/>
      <c r="L21" s="5">
        <f t="shared" si="4"/>
        <v>21.8</v>
      </c>
      <c r="M21" s="6" t="str">
        <f t="shared" si="5"/>
        <v/>
      </c>
      <c r="N21" s="5">
        <f>133</f>
        <v>133</v>
      </c>
      <c r="O21" s="4"/>
      <c r="P21" s="5">
        <f t="shared" si="6"/>
        <v>133</v>
      </c>
      <c r="Q21" s="6" t="str">
        <f t="shared" si="7"/>
        <v/>
      </c>
      <c r="R21" s="5">
        <f>180</f>
        <v>180</v>
      </c>
      <c r="S21" s="4"/>
      <c r="T21" s="5">
        <f t="shared" si="8"/>
        <v>180</v>
      </c>
      <c r="U21" s="6" t="str">
        <f t="shared" si="9"/>
        <v/>
      </c>
      <c r="V21" s="5">
        <f>18.85</f>
        <v>18.850000000000001</v>
      </c>
      <c r="W21" s="4"/>
      <c r="X21" s="5">
        <f t="shared" si="10"/>
        <v>18.850000000000001</v>
      </c>
      <c r="Y21" s="6" t="str">
        <f t="shared" si="11"/>
        <v/>
      </c>
      <c r="Z21" s="5">
        <f>29.88</f>
        <v>29.88</v>
      </c>
      <c r="AA21" s="4"/>
      <c r="AB21" s="5">
        <f t="shared" si="12"/>
        <v>29.88</v>
      </c>
      <c r="AC21" s="6" t="str">
        <f t="shared" si="13"/>
        <v/>
      </c>
      <c r="AD21" s="5">
        <f>11</f>
        <v>11</v>
      </c>
      <c r="AE21" s="4"/>
      <c r="AF21" s="5">
        <f t="shared" si="14"/>
        <v>11</v>
      </c>
      <c r="AG21" s="6" t="str">
        <f t="shared" si="15"/>
        <v/>
      </c>
      <c r="AH21" s="4"/>
      <c r="AI21" s="4"/>
      <c r="AJ21" s="5">
        <f t="shared" si="16"/>
        <v>0</v>
      </c>
      <c r="AK21" s="6" t="str">
        <f t="shared" si="17"/>
        <v/>
      </c>
      <c r="AL21" s="5">
        <f>157.2</f>
        <v>157.19999999999999</v>
      </c>
      <c r="AM21" s="4"/>
      <c r="AN21" s="5">
        <f t="shared" si="18"/>
        <v>157.19999999999999</v>
      </c>
      <c r="AO21" s="6" t="str">
        <f t="shared" si="19"/>
        <v/>
      </c>
      <c r="AP21" s="5">
        <f>21</f>
        <v>21</v>
      </c>
      <c r="AQ21" s="4"/>
      <c r="AR21" s="5">
        <f t="shared" si="20"/>
        <v>21</v>
      </c>
      <c r="AS21" s="6" t="str">
        <f t="shared" si="21"/>
        <v/>
      </c>
      <c r="AT21" s="5">
        <f t="shared" si="22"/>
        <v>680.23</v>
      </c>
      <c r="AU21" s="5">
        <f t="shared" si="23"/>
        <v>0</v>
      </c>
      <c r="AV21" s="5">
        <f t="shared" si="24"/>
        <v>680.23</v>
      </c>
      <c r="AW21" s="6" t="str">
        <f t="shared" si="25"/>
        <v/>
      </c>
    </row>
    <row r="22" spans="1:49" x14ac:dyDescent="0.25">
      <c r="A22" s="3" t="s">
        <v>31</v>
      </c>
      <c r="B22" s="4"/>
      <c r="C22" s="5">
        <f>30000</f>
        <v>30000</v>
      </c>
      <c r="D22" s="5">
        <f t="shared" si="0"/>
        <v>-30000</v>
      </c>
      <c r="E22" s="6">
        <f t="shared" si="1"/>
        <v>0</v>
      </c>
      <c r="F22" s="5">
        <f>72.5</f>
        <v>72.5</v>
      </c>
      <c r="G22" s="5">
        <f>0</f>
        <v>0</v>
      </c>
      <c r="H22" s="5">
        <f t="shared" si="2"/>
        <v>72.5</v>
      </c>
      <c r="I22" s="6" t="str">
        <f t="shared" si="3"/>
        <v/>
      </c>
      <c r="J22" s="5">
        <f>617</f>
        <v>617</v>
      </c>
      <c r="K22" s="5">
        <f>0</f>
        <v>0</v>
      </c>
      <c r="L22" s="5">
        <f t="shared" si="4"/>
        <v>617</v>
      </c>
      <c r="M22" s="6" t="str">
        <f t="shared" si="5"/>
        <v/>
      </c>
      <c r="N22" s="4"/>
      <c r="O22" s="5">
        <f>0</f>
        <v>0</v>
      </c>
      <c r="P22" s="5">
        <f t="shared" si="6"/>
        <v>0</v>
      </c>
      <c r="Q22" s="6" t="str">
        <f t="shared" si="7"/>
        <v/>
      </c>
      <c r="R22" s="4"/>
      <c r="S22" s="5">
        <f>0</f>
        <v>0</v>
      </c>
      <c r="T22" s="5">
        <f t="shared" si="8"/>
        <v>0</v>
      </c>
      <c r="U22" s="6" t="str">
        <f t="shared" si="9"/>
        <v/>
      </c>
      <c r="V22" s="4"/>
      <c r="W22" s="5">
        <f>0</f>
        <v>0</v>
      </c>
      <c r="X22" s="5">
        <f t="shared" si="10"/>
        <v>0</v>
      </c>
      <c r="Y22" s="6" t="str">
        <f t="shared" si="11"/>
        <v/>
      </c>
      <c r="Z22" s="5">
        <f>10</f>
        <v>10</v>
      </c>
      <c r="AA22" s="5">
        <f>0</f>
        <v>0</v>
      </c>
      <c r="AB22" s="5">
        <f t="shared" si="12"/>
        <v>10</v>
      </c>
      <c r="AC22" s="6" t="str">
        <f t="shared" si="13"/>
        <v/>
      </c>
      <c r="AD22" s="4"/>
      <c r="AE22" s="5">
        <f>0</f>
        <v>0</v>
      </c>
      <c r="AF22" s="5">
        <f t="shared" si="14"/>
        <v>0</v>
      </c>
      <c r="AG22" s="6" t="str">
        <f t="shared" si="15"/>
        <v/>
      </c>
      <c r="AH22" s="4"/>
      <c r="AI22" s="5">
        <f>0</f>
        <v>0</v>
      </c>
      <c r="AJ22" s="5">
        <f t="shared" si="16"/>
        <v>0</v>
      </c>
      <c r="AK22" s="6" t="str">
        <f t="shared" si="17"/>
        <v/>
      </c>
      <c r="AL22" s="4"/>
      <c r="AM22" s="5">
        <f>0</f>
        <v>0</v>
      </c>
      <c r="AN22" s="5">
        <f t="shared" si="18"/>
        <v>0</v>
      </c>
      <c r="AO22" s="6" t="str">
        <f t="shared" si="19"/>
        <v/>
      </c>
      <c r="AP22" s="5">
        <f>103.48</f>
        <v>103.48</v>
      </c>
      <c r="AQ22" s="5">
        <f>0</f>
        <v>0</v>
      </c>
      <c r="AR22" s="5">
        <f t="shared" si="20"/>
        <v>103.48</v>
      </c>
      <c r="AS22" s="6" t="str">
        <f t="shared" si="21"/>
        <v/>
      </c>
      <c r="AT22" s="5">
        <f t="shared" si="22"/>
        <v>802.98</v>
      </c>
      <c r="AU22" s="5">
        <f t="shared" si="23"/>
        <v>30000</v>
      </c>
      <c r="AV22" s="5">
        <f t="shared" si="24"/>
        <v>-29197.02</v>
      </c>
      <c r="AW22" s="6">
        <f t="shared" si="25"/>
        <v>2.6766000000000002E-2</v>
      </c>
    </row>
    <row r="23" spans="1:49" x14ac:dyDescent="0.25">
      <c r="A23" s="3" t="s">
        <v>32</v>
      </c>
      <c r="B23" s="4"/>
      <c r="C23" s="5">
        <f>5000</f>
        <v>5000</v>
      </c>
      <c r="D23" s="5">
        <f t="shared" si="0"/>
        <v>-5000</v>
      </c>
      <c r="E23" s="6">
        <f t="shared" si="1"/>
        <v>0</v>
      </c>
      <c r="F23" s="4"/>
      <c r="G23" s="5">
        <f>0</f>
        <v>0</v>
      </c>
      <c r="H23" s="5">
        <f t="shared" si="2"/>
        <v>0</v>
      </c>
      <c r="I23" s="6" t="str">
        <f t="shared" si="3"/>
        <v/>
      </c>
      <c r="J23" s="4"/>
      <c r="K23" s="5">
        <f>0</f>
        <v>0</v>
      </c>
      <c r="L23" s="5">
        <f t="shared" si="4"/>
        <v>0</v>
      </c>
      <c r="M23" s="6" t="str">
        <f t="shared" si="5"/>
        <v/>
      </c>
      <c r="N23" s="4"/>
      <c r="O23" s="5">
        <f>0</f>
        <v>0</v>
      </c>
      <c r="P23" s="5">
        <f t="shared" si="6"/>
        <v>0</v>
      </c>
      <c r="Q23" s="6" t="str">
        <f t="shared" si="7"/>
        <v/>
      </c>
      <c r="R23" s="4"/>
      <c r="S23" s="5">
        <f>0</f>
        <v>0</v>
      </c>
      <c r="T23" s="5">
        <f t="shared" si="8"/>
        <v>0</v>
      </c>
      <c r="U23" s="6" t="str">
        <f t="shared" si="9"/>
        <v/>
      </c>
      <c r="V23" s="4"/>
      <c r="W23" s="5">
        <f>0</f>
        <v>0</v>
      </c>
      <c r="X23" s="5">
        <f t="shared" si="10"/>
        <v>0</v>
      </c>
      <c r="Y23" s="6" t="str">
        <f t="shared" si="11"/>
        <v/>
      </c>
      <c r="Z23" s="4"/>
      <c r="AA23" s="5">
        <f>0</f>
        <v>0</v>
      </c>
      <c r="AB23" s="5">
        <f t="shared" si="12"/>
        <v>0</v>
      </c>
      <c r="AC23" s="6" t="str">
        <f t="shared" si="13"/>
        <v/>
      </c>
      <c r="AD23" s="4"/>
      <c r="AE23" s="5">
        <f>0</f>
        <v>0</v>
      </c>
      <c r="AF23" s="5">
        <f t="shared" si="14"/>
        <v>0</v>
      </c>
      <c r="AG23" s="6" t="str">
        <f t="shared" si="15"/>
        <v/>
      </c>
      <c r="AH23" s="4"/>
      <c r="AI23" s="5">
        <f>0</f>
        <v>0</v>
      </c>
      <c r="AJ23" s="5">
        <f t="shared" si="16"/>
        <v>0</v>
      </c>
      <c r="AK23" s="6" t="str">
        <f t="shared" si="17"/>
        <v/>
      </c>
      <c r="AL23" s="4"/>
      <c r="AM23" s="5">
        <f>0</f>
        <v>0</v>
      </c>
      <c r="AN23" s="5">
        <f t="shared" si="18"/>
        <v>0</v>
      </c>
      <c r="AO23" s="6" t="str">
        <f t="shared" si="19"/>
        <v/>
      </c>
      <c r="AP23" s="4"/>
      <c r="AQ23" s="5">
        <f>0</f>
        <v>0</v>
      </c>
      <c r="AR23" s="5">
        <f t="shared" si="20"/>
        <v>0</v>
      </c>
      <c r="AS23" s="6" t="str">
        <f t="shared" si="21"/>
        <v/>
      </c>
      <c r="AT23" s="5">
        <f t="shared" si="22"/>
        <v>0</v>
      </c>
      <c r="AU23" s="5">
        <f t="shared" si="23"/>
        <v>5000</v>
      </c>
      <c r="AV23" s="5">
        <f t="shared" si="24"/>
        <v>-5000</v>
      </c>
      <c r="AW23" s="6">
        <f t="shared" si="25"/>
        <v>0</v>
      </c>
    </row>
    <row r="24" spans="1:49" x14ac:dyDescent="0.25">
      <c r="A24" s="3" t="s">
        <v>33</v>
      </c>
      <c r="B24" s="4"/>
      <c r="C24" s="5">
        <f>5000</f>
        <v>5000</v>
      </c>
      <c r="D24" s="5">
        <f t="shared" si="0"/>
        <v>-5000</v>
      </c>
      <c r="E24" s="6">
        <f t="shared" si="1"/>
        <v>0</v>
      </c>
      <c r="F24" s="4"/>
      <c r="G24" s="5">
        <f>0</f>
        <v>0</v>
      </c>
      <c r="H24" s="5">
        <f t="shared" si="2"/>
        <v>0</v>
      </c>
      <c r="I24" s="6" t="str">
        <f t="shared" si="3"/>
        <v/>
      </c>
      <c r="J24" s="4"/>
      <c r="K24" s="5">
        <f>0</f>
        <v>0</v>
      </c>
      <c r="L24" s="5">
        <f t="shared" si="4"/>
        <v>0</v>
      </c>
      <c r="M24" s="6" t="str">
        <f t="shared" si="5"/>
        <v/>
      </c>
      <c r="N24" s="4"/>
      <c r="O24" s="5">
        <f>0</f>
        <v>0</v>
      </c>
      <c r="P24" s="5">
        <f t="shared" si="6"/>
        <v>0</v>
      </c>
      <c r="Q24" s="6" t="str">
        <f t="shared" si="7"/>
        <v/>
      </c>
      <c r="R24" s="4"/>
      <c r="S24" s="5">
        <f>0</f>
        <v>0</v>
      </c>
      <c r="T24" s="5">
        <f t="shared" si="8"/>
        <v>0</v>
      </c>
      <c r="U24" s="6" t="str">
        <f t="shared" si="9"/>
        <v/>
      </c>
      <c r="V24" s="4"/>
      <c r="W24" s="5">
        <f>0</f>
        <v>0</v>
      </c>
      <c r="X24" s="5">
        <f t="shared" si="10"/>
        <v>0</v>
      </c>
      <c r="Y24" s="6" t="str">
        <f t="shared" si="11"/>
        <v/>
      </c>
      <c r="Z24" s="4"/>
      <c r="AA24" s="5">
        <f>0</f>
        <v>0</v>
      </c>
      <c r="AB24" s="5">
        <f t="shared" si="12"/>
        <v>0</v>
      </c>
      <c r="AC24" s="6" t="str">
        <f t="shared" si="13"/>
        <v/>
      </c>
      <c r="AD24" s="4"/>
      <c r="AE24" s="5">
        <f>0</f>
        <v>0</v>
      </c>
      <c r="AF24" s="5">
        <f t="shared" si="14"/>
        <v>0</v>
      </c>
      <c r="AG24" s="6" t="str">
        <f t="shared" si="15"/>
        <v/>
      </c>
      <c r="AH24" s="4"/>
      <c r="AI24" s="5">
        <f>0</f>
        <v>0</v>
      </c>
      <c r="AJ24" s="5">
        <f t="shared" si="16"/>
        <v>0</v>
      </c>
      <c r="AK24" s="6" t="str">
        <f t="shared" si="17"/>
        <v/>
      </c>
      <c r="AL24" s="4"/>
      <c r="AM24" s="5">
        <f>0</f>
        <v>0</v>
      </c>
      <c r="AN24" s="5">
        <f t="shared" si="18"/>
        <v>0</v>
      </c>
      <c r="AO24" s="6" t="str">
        <f t="shared" si="19"/>
        <v/>
      </c>
      <c r="AP24" s="4"/>
      <c r="AQ24" s="5">
        <f>0</f>
        <v>0</v>
      </c>
      <c r="AR24" s="5">
        <f t="shared" si="20"/>
        <v>0</v>
      </c>
      <c r="AS24" s="6" t="str">
        <f t="shared" si="21"/>
        <v/>
      </c>
      <c r="AT24" s="5">
        <f t="shared" si="22"/>
        <v>0</v>
      </c>
      <c r="AU24" s="5">
        <f t="shared" si="23"/>
        <v>5000</v>
      </c>
      <c r="AV24" s="5">
        <f t="shared" si="24"/>
        <v>-5000</v>
      </c>
      <c r="AW24" s="6">
        <f t="shared" si="25"/>
        <v>0</v>
      </c>
    </row>
    <row r="25" spans="1:49" x14ac:dyDescent="0.25">
      <c r="A25" s="3" t="s">
        <v>34</v>
      </c>
      <c r="B25" s="7">
        <f>(((B21)+(B22))+(B23))+(B24)</f>
        <v>107.5</v>
      </c>
      <c r="C25" s="7">
        <f>(((C21)+(C22))+(C23))+(C24)</f>
        <v>40000</v>
      </c>
      <c r="D25" s="7">
        <f t="shared" si="0"/>
        <v>-39892.5</v>
      </c>
      <c r="E25" s="8">
        <f t="shared" si="1"/>
        <v>2.6874999999999998E-3</v>
      </c>
      <c r="F25" s="7">
        <f>(((F21)+(F22))+(F23))+(F24)</f>
        <v>72.5</v>
      </c>
      <c r="G25" s="7">
        <f>(((G21)+(G22))+(G23))+(G24)</f>
        <v>0</v>
      </c>
      <c r="H25" s="7">
        <f t="shared" si="2"/>
        <v>72.5</v>
      </c>
      <c r="I25" s="8" t="str">
        <f t="shared" si="3"/>
        <v/>
      </c>
      <c r="J25" s="7">
        <f>(((J21)+(J22))+(J23))+(J24)</f>
        <v>638.79999999999995</v>
      </c>
      <c r="K25" s="7">
        <f>(((K21)+(K22))+(K23))+(K24)</f>
        <v>0</v>
      </c>
      <c r="L25" s="7">
        <f t="shared" si="4"/>
        <v>638.79999999999995</v>
      </c>
      <c r="M25" s="8" t="str">
        <f t="shared" si="5"/>
        <v/>
      </c>
      <c r="N25" s="7">
        <f>(((N21)+(N22))+(N23))+(N24)</f>
        <v>133</v>
      </c>
      <c r="O25" s="7">
        <f>(((O21)+(O22))+(O23))+(O24)</f>
        <v>0</v>
      </c>
      <c r="P25" s="7">
        <f t="shared" si="6"/>
        <v>133</v>
      </c>
      <c r="Q25" s="8" t="str">
        <f t="shared" si="7"/>
        <v/>
      </c>
      <c r="R25" s="7">
        <f>(((R21)+(R22))+(R23))+(R24)</f>
        <v>180</v>
      </c>
      <c r="S25" s="7">
        <f>(((S21)+(S22))+(S23))+(S24)</f>
        <v>0</v>
      </c>
      <c r="T25" s="7">
        <f t="shared" si="8"/>
        <v>180</v>
      </c>
      <c r="U25" s="8" t="str">
        <f t="shared" si="9"/>
        <v/>
      </c>
      <c r="V25" s="7">
        <f>(((V21)+(V22))+(V23))+(V24)</f>
        <v>18.850000000000001</v>
      </c>
      <c r="W25" s="7">
        <f>(((W21)+(W22))+(W23))+(W24)</f>
        <v>0</v>
      </c>
      <c r="X25" s="7">
        <f t="shared" si="10"/>
        <v>18.850000000000001</v>
      </c>
      <c r="Y25" s="8" t="str">
        <f t="shared" si="11"/>
        <v/>
      </c>
      <c r="Z25" s="7">
        <f>(((Z21)+(Z22))+(Z23))+(Z24)</f>
        <v>39.879999999999995</v>
      </c>
      <c r="AA25" s="7">
        <f>(((AA21)+(AA22))+(AA23))+(AA24)</f>
        <v>0</v>
      </c>
      <c r="AB25" s="7">
        <f t="shared" si="12"/>
        <v>39.879999999999995</v>
      </c>
      <c r="AC25" s="8" t="str">
        <f t="shared" si="13"/>
        <v/>
      </c>
      <c r="AD25" s="7">
        <f>(((AD21)+(AD22))+(AD23))+(AD24)</f>
        <v>11</v>
      </c>
      <c r="AE25" s="7">
        <f>(((AE21)+(AE22))+(AE23))+(AE24)</f>
        <v>0</v>
      </c>
      <c r="AF25" s="7">
        <f t="shared" si="14"/>
        <v>11</v>
      </c>
      <c r="AG25" s="8" t="str">
        <f t="shared" si="15"/>
        <v/>
      </c>
      <c r="AH25" s="7">
        <f>(((AH21)+(AH22))+(AH23))+(AH24)</f>
        <v>0</v>
      </c>
      <c r="AI25" s="7">
        <f>(((AI21)+(AI22))+(AI23))+(AI24)</f>
        <v>0</v>
      </c>
      <c r="AJ25" s="7">
        <f t="shared" si="16"/>
        <v>0</v>
      </c>
      <c r="AK25" s="8" t="str">
        <f t="shared" si="17"/>
        <v/>
      </c>
      <c r="AL25" s="7">
        <f>(((AL21)+(AL22))+(AL23))+(AL24)</f>
        <v>157.19999999999999</v>
      </c>
      <c r="AM25" s="7">
        <f>(((AM21)+(AM22))+(AM23))+(AM24)</f>
        <v>0</v>
      </c>
      <c r="AN25" s="7">
        <f t="shared" si="18"/>
        <v>157.19999999999999</v>
      </c>
      <c r="AO25" s="8" t="str">
        <f t="shared" si="19"/>
        <v/>
      </c>
      <c r="AP25" s="7">
        <f>(((AP21)+(AP22))+(AP23))+(AP24)</f>
        <v>124.48</v>
      </c>
      <c r="AQ25" s="7">
        <f>(((AQ21)+(AQ22))+(AQ23))+(AQ24)</f>
        <v>0</v>
      </c>
      <c r="AR25" s="7">
        <f t="shared" si="20"/>
        <v>124.48</v>
      </c>
      <c r="AS25" s="8" t="str">
        <f t="shared" si="21"/>
        <v/>
      </c>
      <c r="AT25" s="7">
        <f t="shared" si="22"/>
        <v>1483.2099999999998</v>
      </c>
      <c r="AU25" s="7">
        <f t="shared" si="23"/>
        <v>40000</v>
      </c>
      <c r="AV25" s="7">
        <f t="shared" si="24"/>
        <v>-38516.79</v>
      </c>
      <c r="AW25" s="8">
        <f t="shared" si="25"/>
        <v>3.7080249999999995E-2</v>
      </c>
    </row>
    <row r="26" spans="1:49" x14ac:dyDescent="0.25">
      <c r="A26" s="3" t="s">
        <v>35</v>
      </c>
      <c r="B26" s="5">
        <f>106.19</f>
        <v>106.19</v>
      </c>
      <c r="C26" s="5">
        <f>8000</f>
        <v>8000</v>
      </c>
      <c r="D26" s="5">
        <f t="shared" si="0"/>
        <v>-7893.81</v>
      </c>
      <c r="E26" s="6">
        <f t="shared" si="1"/>
        <v>1.3273749999999999E-2</v>
      </c>
      <c r="F26" s="5">
        <f>49.95</f>
        <v>49.95</v>
      </c>
      <c r="G26" s="5">
        <f>0</f>
        <v>0</v>
      </c>
      <c r="H26" s="5">
        <f t="shared" si="2"/>
        <v>49.95</v>
      </c>
      <c r="I26" s="6" t="str">
        <f t="shared" si="3"/>
        <v/>
      </c>
      <c r="J26" s="5">
        <f>201.51</f>
        <v>201.51</v>
      </c>
      <c r="K26" s="5">
        <f>0</f>
        <v>0</v>
      </c>
      <c r="L26" s="5">
        <f t="shared" si="4"/>
        <v>201.51</v>
      </c>
      <c r="M26" s="6" t="str">
        <f t="shared" si="5"/>
        <v/>
      </c>
      <c r="N26" s="5">
        <f>232.65</f>
        <v>232.65</v>
      </c>
      <c r="O26" s="5">
        <f>0</f>
        <v>0</v>
      </c>
      <c r="P26" s="5">
        <f t="shared" si="6"/>
        <v>232.65</v>
      </c>
      <c r="Q26" s="6" t="str">
        <f t="shared" si="7"/>
        <v/>
      </c>
      <c r="R26" s="5">
        <f>302.46</f>
        <v>302.45999999999998</v>
      </c>
      <c r="S26" s="5">
        <f>0</f>
        <v>0</v>
      </c>
      <c r="T26" s="5">
        <f t="shared" si="8"/>
        <v>302.45999999999998</v>
      </c>
      <c r="U26" s="6" t="str">
        <f t="shared" si="9"/>
        <v/>
      </c>
      <c r="V26" s="5">
        <f>401.82</f>
        <v>401.82</v>
      </c>
      <c r="W26" s="5">
        <f>0</f>
        <v>0</v>
      </c>
      <c r="X26" s="5">
        <f t="shared" si="10"/>
        <v>401.82</v>
      </c>
      <c r="Y26" s="6" t="str">
        <f t="shared" si="11"/>
        <v/>
      </c>
      <c r="Z26" s="5">
        <f>624.48</f>
        <v>624.48</v>
      </c>
      <c r="AA26" s="5">
        <f>0</f>
        <v>0</v>
      </c>
      <c r="AB26" s="5">
        <f t="shared" si="12"/>
        <v>624.48</v>
      </c>
      <c r="AC26" s="6" t="str">
        <f t="shared" si="13"/>
        <v/>
      </c>
      <c r="AD26" s="5">
        <f>641.78</f>
        <v>641.78</v>
      </c>
      <c r="AE26" s="5">
        <f>0</f>
        <v>0</v>
      </c>
      <c r="AF26" s="5">
        <f t="shared" si="14"/>
        <v>641.78</v>
      </c>
      <c r="AG26" s="6" t="str">
        <f t="shared" si="15"/>
        <v/>
      </c>
      <c r="AH26" s="5">
        <f>510.32</f>
        <v>510.32</v>
      </c>
      <c r="AI26" s="5">
        <f>0</f>
        <v>0</v>
      </c>
      <c r="AJ26" s="5">
        <f t="shared" si="16"/>
        <v>510.32</v>
      </c>
      <c r="AK26" s="6" t="str">
        <f t="shared" si="17"/>
        <v/>
      </c>
      <c r="AL26" s="5">
        <f>205.73</f>
        <v>205.73</v>
      </c>
      <c r="AM26" s="5">
        <f>0</f>
        <v>0</v>
      </c>
      <c r="AN26" s="5">
        <f t="shared" si="18"/>
        <v>205.73</v>
      </c>
      <c r="AO26" s="6" t="str">
        <f t="shared" si="19"/>
        <v/>
      </c>
      <c r="AP26" s="5">
        <f>135.92</f>
        <v>135.91999999999999</v>
      </c>
      <c r="AQ26" s="5">
        <f>0</f>
        <v>0</v>
      </c>
      <c r="AR26" s="5">
        <f t="shared" si="20"/>
        <v>135.91999999999999</v>
      </c>
      <c r="AS26" s="6" t="str">
        <f t="shared" si="21"/>
        <v/>
      </c>
      <c r="AT26" s="5">
        <f t="shared" si="22"/>
        <v>3412.8100000000004</v>
      </c>
      <c r="AU26" s="5">
        <f t="shared" si="23"/>
        <v>8000</v>
      </c>
      <c r="AV26" s="5">
        <f t="shared" si="24"/>
        <v>-4587.1899999999996</v>
      </c>
      <c r="AW26" s="6">
        <f t="shared" si="25"/>
        <v>0.42660125000000004</v>
      </c>
    </row>
    <row r="27" spans="1:49" x14ac:dyDescent="0.25">
      <c r="A27" s="3" t="s">
        <v>36</v>
      </c>
      <c r="B27" s="4"/>
      <c r="C27" s="5">
        <f>2500</f>
        <v>2500</v>
      </c>
      <c r="D27" s="5">
        <f t="shared" si="0"/>
        <v>-2500</v>
      </c>
      <c r="E27" s="6">
        <f t="shared" si="1"/>
        <v>0</v>
      </c>
      <c r="F27" s="4"/>
      <c r="G27" s="5">
        <f>0</f>
        <v>0</v>
      </c>
      <c r="H27" s="5">
        <f t="shared" si="2"/>
        <v>0</v>
      </c>
      <c r="I27" s="6" t="str">
        <f t="shared" si="3"/>
        <v/>
      </c>
      <c r="J27" s="5">
        <f>17</f>
        <v>17</v>
      </c>
      <c r="K27" s="5">
        <f>0</f>
        <v>0</v>
      </c>
      <c r="L27" s="5">
        <f t="shared" si="4"/>
        <v>17</v>
      </c>
      <c r="M27" s="6" t="str">
        <f t="shared" si="5"/>
        <v/>
      </c>
      <c r="N27" s="4"/>
      <c r="O27" s="5">
        <f>0</f>
        <v>0</v>
      </c>
      <c r="P27" s="5">
        <f t="shared" si="6"/>
        <v>0</v>
      </c>
      <c r="Q27" s="6" t="str">
        <f t="shared" si="7"/>
        <v/>
      </c>
      <c r="R27" s="5">
        <f>442.8</f>
        <v>442.8</v>
      </c>
      <c r="S27" s="5">
        <f>0</f>
        <v>0</v>
      </c>
      <c r="T27" s="5">
        <f t="shared" si="8"/>
        <v>442.8</v>
      </c>
      <c r="U27" s="6" t="str">
        <f t="shared" si="9"/>
        <v/>
      </c>
      <c r="V27" s="5">
        <f>439.25</f>
        <v>439.25</v>
      </c>
      <c r="W27" s="5">
        <f>0</f>
        <v>0</v>
      </c>
      <c r="X27" s="5">
        <f t="shared" si="10"/>
        <v>439.25</v>
      </c>
      <c r="Y27" s="6" t="str">
        <f t="shared" si="11"/>
        <v/>
      </c>
      <c r="Z27" s="5">
        <f>238.05</f>
        <v>238.05</v>
      </c>
      <c r="AA27" s="5">
        <f>0</f>
        <v>0</v>
      </c>
      <c r="AB27" s="5">
        <f t="shared" si="12"/>
        <v>238.05</v>
      </c>
      <c r="AC27" s="6" t="str">
        <f t="shared" si="13"/>
        <v/>
      </c>
      <c r="AD27" s="5">
        <f>10</f>
        <v>10</v>
      </c>
      <c r="AE27" s="5">
        <f>0</f>
        <v>0</v>
      </c>
      <c r="AF27" s="5">
        <f t="shared" si="14"/>
        <v>10</v>
      </c>
      <c r="AG27" s="6" t="str">
        <f t="shared" si="15"/>
        <v/>
      </c>
      <c r="AH27" s="5">
        <f>255.7</f>
        <v>255.7</v>
      </c>
      <c r="AI27" s="5">
        <f>0</f>
        <v>0</v>
      </c>
      <c r="AJ27" s="5">
        <f t="shared" si="16"/>
        <v>255.7</v>
      </c>
      <c r="AK27" s="6" t="str">
        <f t="shared" si="17"/>
        <v/>
      </c>
      <c r="AL27" s="5">
        <f>45</f>
        <v>45</v>
      </c>
      <c r="AM27" s="5">
        <f>0</f>
        <v>0</v>
      </c>
      <c r="AN27" s="5">
        <f t="shared" si="18"/>
        <v>45</v>
      </c>
      <c r="AO27" s="6" t="str">
        <f t="shared" si="19"/>
        <v/>
      </c>
      <c r="AP27" s="5">
        <f>211.3</f>
        <v>211.3</v>
      </c>
      <c r="AQ27" s="5">
        <f>0</f>
        <v>0</v>
      </c>
      <c r="AR27" s="5">
        <f t="shared" si="20"/>
        <v>211.3</v>
      </c>
      <c r="AS27" s="6" t="str">
        <f t="shared" si="21"/>
        <v/>
      </c>
      <c r="AT27" s="5">
        <f t="shared" si="22"/>
        <v>1659.1</v>
      </c>
      <c r="AU27" s="5">
        <f t="shared" si="23"/>
        <v>2500</v>
      </c>
      <c r="AV27" s="5">
        <f t="shared" si="24"/>
        <v>-840.90000000000009</v>
      </c>
      <c r="AW27" s="6">
        <f t="shared" si="25"/>
        <v>0.66364000000000001</v>
      </c>
    </row>
    <row r="28" spans="1:49" x14ac:dyDescent="0.25">
      <c r="A28" s="3" t="s">
        <v>37</v>
      </c>
      <c r="B28" s="5">
        <f>50</f>
        <v>50</v>
      </c>
      <c r="C28" s="4"/>
      <c r="D28" s="5">
        <f t="shared" si="0"/>
        <v>50</v>
      </c>
      <c r="E28" s="6" t="str">
        <f t="shared" si="1"/>
        <v/>
      </c>
      <c r="F28" s="4"/>
      <c r="G28" s="4"/>
      <c r="H28" s="5">
        <f t="shared" si="2"/>
        <v>0</v>
      </c>
      <c r="I28" s="6" t="str">
        <f t="shared" si="3"/>
        <v/>
      </c>
      <c r="J28" s="5">
        <f>25</f>
        <v>25</v>
      </c>
      <c r="K28" s="4"/>
      <c r="L28" s="5">
        <f t="shared" si="4"/>
        <v>25</v>
      </c>
      <c r="M28" s="6" t="str">
        <f t="shared" si="5"/>
        <v/>
      </c>
      <c r="N28" s="5">
        <f>50</f>
        <v>50</v>
      </c>
      <c r="O28" s="4"/>
      <c r="P28" s="5">
        <f t="shared" si="6"/>
        <v>50</v>
      </c>
      <c r="Q28" s="6" t="str">
        <f t="shared" si="7"/>
        <v/>
      </c>
      <c r="R28" s="4"/>
      <c r="S28" s="4"/>
      <c r="T28" s="5">
        <f t="shared" si="8"/>
        <v>0</v>
      </c>
      <c r="U28" s="6" t="str">
        <f t="shared" si="9"/>
        <v/>
      </c>
      <c r="V28" s="5">
        <f>25</f>
        <v>25</v>
      </c>
      <c r="W28" s="4"/>
      <c r="X28" s="5">
        <f t="shared" si="10"/>
        <v>25</v>
      </c>
      <c r="Y28" s="6" t="str">
        <f t="shared" si="11"/>
        <v/>
      </c>
      <c r="Z28" s="4"/>
      <c r="AA28" s="4"/>
      <c r="AB28" s="5">
        <f t="shared" si="12"/>
        <v>0</v>
      </c>
      <c r="AC28" s="6" t="str">
        <f t="shared" si="13"/>
        <v/>
      </c>
      <c r="AD28" s="5">
        <f>25</f>
        <v>25</v>
      </c>
      <c r="AE28" s="4"/>
      <c r="AF28" s="5">
        <f t="shared" si="14"/>
        <v>25</v>
      </c>
      <c r="AG28" s="6" t="str">
        <f t="shared" si="15"/>
        <v/>
      </c>
      <c r="AH28" s="5">
        <f>25</f>
        <v>25</v>
      </c>
      <c r="AI28" s="4"/>
      <c r="AJ28" s="5">
        <f t="shared" si="16"/>
        <v>25</v>
      </c>
      <c r="AK28" s="6" t="str">
        <f t="shared" si="17"/>
        <v/>
      </c>
      <c r="AL28" s="5">
        <f>25</f>
        <v>25</v>
      </c>
      <c r="AM28" s="4"/>
      <c r="AN28" s="5">
        <f t="shared" si="18"/>
        <v>25</v>
      </c>
      <c r="AO28" s="6" t="str">
        <f t="shared" si="19"/>
        <v/>
      </c>
      <c r="AP28" s="5">
        <f>0</f>
        <v>0</v>
      </c>
      <c r="AQ28" s="4"/>
      <c r="AR28" s="5">
        <f t="shared" si="20"/>
        <v>0</v>
      </c>
      <c r="AS28" s="6" t="str">
        <f t="shared" si="21"/>
        <v/>
      </c>
      <c r="AT28" s="5">
        <f t="shared" si="22"/>
        <v>225</v>
      </c>
      <c r="AU28" s="5">
        <f t="shared" si="23"/>
        <v>0</v>
      </c>
      <c r="AV28" s="5">
        <f t="shared" si="24"/>
        <v>225</v>
      </c>
      <c r="AW28" s="6" t="str">
        <f t="shared" si="25"/>
        <v/>
      </c>
    </row>
    <row r="29" spans="1:49" x14ac:dyDescent="0.25">
      <c r="A29" s="3" t="s">
        <v>38</v>
      </c>
      <c r="B29" s="4"/>
      <c r="C29" s="4"/>
      <c r="D29" s="5">
        <f t="shared" si="0"/>
        <v>0</v>
      </c>
      <c r="E29" s="6" t="str">
        <f t="shared" si="1"/>
        <v/>
      </c>
      <c r="F29" s="4"/>
      <c r="G29" s="4"/>
      <c r="H29" s="5">
        <f t="shared" si="2"/>
        <v>0</v>
      </c>
      <c r="I29" s="6" t="str">
        <f t="shared" si="3"/>
        <v/>
      </c>
      <c r="J29" s="4"/>
      <c r="K29" s="4"/>
      <c r="L29" s="5">
        <f t="shared" si="4"/>
        <v>0</v>
      </c>
      <c r="M29" s="6" t="str">
        <f t="shared" si="5"/>
        <v/>
      </c>
      <c r="N29" s="5">
        <f>40</f>
        <v>40</v>
      </c>
      <c r="O29" s="4"/>
      <c r="P29" s="5">
        <f t="shared" si="6"/>
        <v>40</v>
      </c>
      <c r="Q29" s="6" t="str">
        <f t="shared" si="7"/>
        <v/>
      </c>
      <c r="R29" s="5">
        <f>51.75</f>
        <v>51.75</v>
      </c>
      <c r="S29" s="4"/>
      <c r="T29" s="5">
        <f t="shared" si="8"/>
        <v>51.75</v>
      </c>
      <c r="U29" s="6" t="str">
        <f t="shared" si="9"/>
        <v/>
      </c>
      <c r="V29" s="5">
        <f>100</f>
        <v>100</v>
      </c>
      <c r="W29" s="4"/>
      <c r="X29" s="5">
        <f t="shared" si="10"/>
        <v>100</v>
      </c>
      <c r="Y29" s="6" t="str">
        <f t="shared" si="11"/>
        <v/>
      </c>
      <c r="Z29" s="4"/>
      <c r="AA29" s="4"/>
      <c r="AB29" s="5">
        <f t="shared" si="12"/>
        <v>0</v>
      </c>
      <c r="AC29" s="6" t="str">
        <f t="shared" si="13"/>
        <v/>
      </c>
      <c r="AD29" s="4"/>
      <c r="AE29" s="4"/>
      <c r="AF29" s="5">
        <f t="shared" si="14"/>
        <v>0</v>
      </c>
      <c r="AG29" s="6" t="str">
        <f t="shared" si="15"/>
        <v/>
      </c>
      <c r="AH29" s="4"/>
      <c r="AI29" s="4"/>
      <c r="AJ29" s="5">
        <f t="shared" si="16"/>
        <v>0</v>
      </c>
      <c r="AK29" s="6" t="str">
        <f t="shared" si="17"/>
        <v/>
      </c>
      <c r="AL29" s="5">
        <f>100</f>
        <v>100</v>
      </c>
      <c r="AM29" s="4"/>
      <c r="AN29" s="5">
        <f t="shared" si="18"/>
        <v>100</v>
      </c>
      <c r="AO29" s="6" t="str">
        <f t="shared" si="19"/>
        <v/>
      </c>
      <c r="AP29" s="4"/>
      <c r="AQ29" s="4"/>
      <c r="AR29" s="5">
        <f t="shared" si="20"/>
        <v>0</v>
      </c>
      <c r="AS29" s="6" t="str">
        <f t="shared" si="21"/>
        <v/>
      </c>
      <c r="AT29" s="5">
        <f t="shared" si="22"/>
        <v>291.75</v>
      </c>
      <c r="AU29" s="5">
        <f t="shared" si="23"/>
        <v>0</v>
      </c>
      <c r="AV29" s="5">
        <f t="shared" si="24"/>
        <v>291.75</v>
      </c>
      <c r="AW29" s="6" t="str">
        <f t="shared" si="25"/>
        <v/>
      </c>
    </row>
    <row r="30" spans="1:49" x14ac:dyDescent="0.25">
      <c r="A30" s="3" t="s">
        <v>39</v>
      </c>
      <c r="B30" s="4"/>
      <c r="C30" s="4"/>
      <c r="D30" s="5">
        <f t="shared" si="0"/>
        <v>0</v>
      </c>
      <c r="E30" s="6" t="str">
        <f t="shared" si="1"/>
        <v/>
      </c>
      <c r="F30" s="4"/>
      <c r="G30" s="4"/>
      <c r="H30" s="5">
        <f t="shared" si="2"/>
        <v>0</v>
      </c>
      <c r="I30" s="6" t="str">
        <f t="shared" si="3"/>
        <v/>
      </c>
      <c r="J30" s="5">
        <f>75</f>
        <v>75</v>
      </c>
      <c r="K30" s="4"/>
      <c r="L30" s="5">
        <f t="shared" si="4"/>
        <v>75</v>
      </c>
      <c r="M30" s="6" t="str">
        <f t="shared" si="5"/>
        <v/>
      </c>
      <c r="N30" s="5">
        <f>0</f>
        <v>0</v>
      </c>
      <c r="O30" s="4"/>
      <c r="P30" s="5">
        <f t="shared" si="6"/>
        <v>0</v>
      </c>
      <c r="Q30" s="6" t="str">
        <f t="shared" si="7"/>
        <v/>
      </c>
      <c r="R30" s="4"/>
      <c r="S30" s="4"/>
      <c r="T30" s="5">
        <f t="shared" si="8"/>
        <v>0</v>
      </c>
      <c r="U30" s="6" t="str">
        <f t="shared" si="9"/>
        <v/>
      </c>
      <c r="V30" s="5">
        <f>100</f>
        <v>100</v>
      </c>
      <c r="W30" s="4"/>
      <c r="X30" s="5">
        <f t="shared" si="10"/>
        <v>100</v>
      </c>
      <c r="Y30" s="6" t="str">
        <f t="shared" si="11"/>
        <v/>
      </c>
      <c r="Z30" s="5">
        <f>50</f>
        <v>50</v>
      </c>
      <c r="AA30" s="4"/>
      <c r="AB30" s="5">
        <f t="shared" si="12"/>
        <v>50</v>
      </c>
      <c r="AC30" s="6" t="str">
        <f t="shared" si="13"/>
        <v/>
      </c>
      <c r="AD30" s="5">
        <f>50</f>
        <v>50</v>
      </c>
      <c r="AE30" s="4"/>
      <c r="AF30" s="5">
        <f t="shared" si="14"/>
        <v>50</v>
      </c>
      <c r="AG30" s="6" t="str">
        <f t="shared" si="15"/>
        <v/>
      </c>
      <c r="AH30" s="5">
        <f>100</f>
        <v>100</v>
      </c>
      <c r="AI30" s="4"/>
      <c r="AJ30" s="5">
        <f t="shared" si="16"/>
        <v>100</v>
      </c>
      <c r="AK30" s="6" t="str">
        <f t="shared" si="17"/>
        <v/>
      </c>
      <c r="AL30" s="5">
        <f>50</f>
        <v>50</v>
      </c>
      <c r="AM30" s="4"/>
      <c r="AN30" s="5">
        <f t="shared" si="18"/>
        <v>50</v>
      </c>
      <c r="AO30" s="6" t="str">
        <f t="shared" si="19"/>
        <v/>
      </c>
      <c r="AP30" s="4"/>
      <c r="AQ30" s="4"/>
      <c r="AR30" s="5">
        <f t="shared" si="20"/>
        <v>0</v>
      </c>
      <c r="AS30" s="6" t="str">
        <f t="shared" si="21"/>
        <v/>
      </c>
      <c r="AT30" s="5">
        <f t="shared" si="22"/>
        <v>425</v>
      </c>
      <c r="AU30" s="5">
        <f t="shared" si="23"/>
        <v>0</v>
      </c>
      <c r="AV30" s="5">
        <f t="shared" si="24"/>
        <v>425</v>
      </c>
      <c r="AW30" s="6" t="str">
        <f t="shared" si="25"/>
        <v/>
      </c>
    </row>
    <row r="31" spans="1:49" x14ac:dyDescent="0.25">
      <c r="A31" s="3" t="s">
        <v>40</v>
      </c>
      <c r="B31" s="5">
        <f>130</f>
        <v>130</v>
      </c>
      <c r="C31" s="4"/>
      <c r="D31" s="5">
        <f t="shared" si="0"/>
        <v>130</v>
      </c>
      <c r="E31" s="6" t="str">
        <f t="shared" si="1"/>
        <v/>
      </c>
      <c r="F31" s="5">
        <f>60</f>
        <v>60</v>
      </c>
      <c r="G31" s="4"/>
      <c r="H31" s="5">
        <f t="shared" si="2"/>
        <v>60</v>
      </c>
      <c r="I31" s="6" t="str">
        <f t="shared" si="3"/>
        <v/>
      </c>
      <c r="J31" s="5">
        <f>225</f>
        <v>225</v>
      </c>
      <c r="K31" s="4"/>
      <c r="L31" s="5">
        <f t="shared" si="4"/>
        <v>225</v>
      </c>
      <c r="M31" s="6" t="str">
        <f t="shared" si="5"/>
        <v/>
      </c>
      <c r="N31" s="5">
        <f>250</f>
        <v>250</v>
      </c>
      <c r="O31" s="4"/>
      <c r="P31" s="5">
        <f t="shared" si="6"/>
        <v>250</v>
      </c>
      <c r="Q31" s="6" t="str">
        <f t="shared" si="7"/>
        <v/>
      </c>
      <c r="R31" s="5">
        <f>147.5</f>
        <v>147.5</v>
      </c>
      <c r="S31" s="4"/>
      <c r="T31" s="5">
        <f t="shared" si="8"/>
        <v>147.5</v>
      </c>
      <c r="U31" s="6" t="str">
        <f t="shared" si="9"/>
        <v/>
      </c>
      <c r="V31" s="5">
        <f>357.5</f>
        <v>357.5</v>
      </c>
      <c r="W31" s="4"/>
      <c r="X31" s="5">
        <f t="shared" si="10"/>
        <v>357.5</v>
      </c>
      <c r="Y31" s="6" t="str">
        <f t="shared" si="11"/>
        <v/>
      </c>
      <c r="Z31" s="5">
        <f>150</f>
        <v>150</v>
      </c>
      <c r="AA31" s="4"/>
      <c r="AB31" s="5">
        <f t="shared" si="12"/>
        <v>150</v>
      </c>
      <c r="AC31" s="6" t="str">
        <f t="shared" si="13"/>
        <v/>
      </c>
      <c r="AD31" s="5">
        <f>277.5</f>
        <v>277.5</v>
      </c>
      <c r="AE31" s="4"/>
      <c r="AF31" s="5">
        <f t="shared" si="14"/>
        <v>277.5</v>
      </c>
      <c r="AG31" s="6" t="str">
        <f t="shared" si="15"/>
        <v/>
      </c>
      <c r="AH31" s="5">
        <f>445</f>
        <v>445</v>
      </c>
      <c r="AI31" s="4"/>
      <c r="AJ31" s="5">
        <f t="shared" si="16"/>
        <v>445</v>
      </c>
      <c r="AK31" s="6" t="str">
        <f t="shared" si="17"/>
        <v/>
      </c>
      <c r="AL31" s="5">
        <f>210</f>
        <v>210</v>
      </c>
      <c r="AM31" s="4"/>
      <c r="AN31" s="5">
        <f t="shared" si="18"/>
        <v>210</v>
      </c>
      <c r="AO31" s="6" t="str">
        <f t="shared" si="19"/>
        <v/>
      </c>
      <c r="AP31" s="5">
        <f>255</f>
        <v>255</v>
      </c>
      <c r="AQ31" s="4"/>
      <c r="AR31" s="5">
        <f t="shared" si="20"/>
        <v>255</v>
      </c>
      <c r="AS31" s="6" t="str">
        <f t="shared" si="21"/>
        <v/>
      </c>
      <c r="AT31" s="5">
        <f t="shared" si="22"/>
        <v>2507.5</v>
      </c>
      <c r="AU31" s="5">
        <f t="shared" si="23"/>
        <v>0</v>
      </c>
      <c r="AV31" s="5">
        <f t="shared" si="24"/>
        <v>2507.5</v>
      </c>
      <c r="AW31" s="6" t="str">
        <f t="shared" si="25"/>
        <v/>
      </c>
    </row>
    <row r="32" spans="1:49" x14ac:dyDescent="0.25">
      <c r="A32" s="3" t="s">
        <v>41</v>
      </c>
      <c r="B32" s="7">
        <f>((((B27)+(B28))+(B29))+(B30))+(B31)</f>
        <v>180</v>
      </c>
      <c r="C32" s="7">
        <f>((((C27)+(C28))+(C29))+(C30))+(C31)</f>
        <v>2500</v>
      </c>
      <c r="D32" s="7">
        <f t="shared" si="0"/>
        <v>-2320</v>
      </c>
      <c r="E32" s="8">
        <f t="shared" si="1"/>
        <v>7.1999999999999995E-2</v>
      </c>
      <c r="F32" s="7">
        <f>((((F27)+(F28))+(F29))+(F30))+(F31)</f>
        <v>60</v>
      </c>
      <c r="G32" s="7">
        <f>((((G27)+(G28))+(G29))+(G30))+(G31)</f>
        <v>0</v>
      </c>
      <c r="H32" s="7">
        <f t="shared" si="2"/>
        <v>60</v>
      </c>
      <c r="I32" s="8" t="str">
        <f t="shared" si="3"/>
        <v/>
      </c>
      <c r="J32" s="7">
        <f>((((J27)+(J28))+(J29))+(J30))+(J31)</f>
        <v>342</v>
      </c>
      <c r="K32" s="7">
        <f>((((K27)+(K28))+(K29))+(K30))+(K31)</f>
        <v>0</v>
      </c>
      <c r="L32" s="7">
        <f t="shared" si="4"/>
        <v>342</v>
      </c>
      <c r="M32" s="8" t="str">
        <f t="shared" si="5"/>
        <v/>
      </c>
      <c r="N32" s="7">
        <f>((((N27)+(N28))+(N29))+(N30))+(N31)</f>
        <v>340</v>
      </c>
      <c r="O32" s="7">
        <f>((((O27)+(O28))+(O29))+(O30))+(O31)</f>
        <v>0</v>
      </c>
      <c r="P32" s="7">
        <f t="shared" si="6"/>
        <v>340</v>
      </c>
      <c r="Q32" s="8" t="str">
        <f t="shared" si="7"/>
        <v/>
      </c>
      <c r="R32" s="7">
        <f>((((R27)+(R28))+(R29))+(R30))+(R31)</f>
        <v>642.04999999999995</v>
      </c>
      <c r="S32" s="7">
        <f>((((S27)+(S28))+(S29))+(S30))+(S31)</f>
        <v>0</v>
      </c>
      <c r="T32" s="7">
        <f t="shared" si="8"/>
        <v>642.04999999999995</v>
      </c>
      <c r="U32" s="8" t="str">
        <f t="shared" si="9"/>
        <v/>
      </c>
      <c r="V32" s="7">
        <f>((((V27)+(V28))+(V29))+(V30))+(V31)</f>
        <v>1021.75</v>
      </c>
      <c r="W32" s="7">
        <f>((((W27)+(W28))+(W29))+(W30))+(W31)</f>
        <v>0</v>
      </c>
      <c r="X32" s="7">
        <f t="shared" si="10"/>
        <v>1021.75</v>
      </c>
      <c r="Y32" s="8" t="str">
        <f t="shared" si="11"/>
        <v/>
      </c>
      <c r="Z32" s="7">
        <f>((((Z27)+(Z28))+(Z29))+(Z30))+(Z31)</f>
        <v>438.05</v>
      </c>
      <c r="AA32" s="7">
        <f>((((AA27)+(AA28))+(AA29))+(AA30))+(AA31)</f>
        <v>0</v>
      </c>
      <c r="AB32" s="7">
        <f t="shared" si="12"/>
        <v>438.05</v>
      </c>
      <c r="AC32" s="8" t="str">
        <f t="shared" si="13"/>
        <v/>
      </c>
      <c r="AD32" s="7">
        <f>((((AD27)+(AD28))+(AD29))+(AD30))+(AD31)</f>
        <v>362.5</v>
      </c>
      <c r="AE32" s="7">
        <f>((((AE27)+(AE28))+(AE29))+(AE30))+(AE31)</f>
        <v>0</v>
      </c>
      <c r="AF32" s="7">
        <f t="shared" si="14"/>
        <v>362.5</v>
      </c>
      <c r="AG32" s="8" t="str">
        <f t="shared" si="15"/>
        <v/>
      </c>
      <c r="AH32" s="7">
        <f>((((AH27)+(AH28))+(AH29))+(AH30))+(AH31)</f>
        <v>825.7</v>
      </c>
      <c r="AI32" s="7">
        <f>((((AI27)+(AI28))+(AI29))+(AI30))+(AI31)</f>
        <v>0</v>
      </c>
      <c r="AJ32" s="7">
        <f t="shared" si="16"/>
        <v>825.7</v>
      </c>
      <c r="AK32" s="8" t="str">
        <f t="shared" si="17"/>
        <v/>
      </c>
      <c r="AL32" s="7">
        <f>((((AL27)+(AL28))+(AL29))+(AL30))+(AL31)</f>
        <v>430</v>
      </c>
      <c r="AM32" s="7">
        <f>((((AM27)+(AM28))+(AM29))+(AM30))+(AM31)</f>
        <v>0</v>
      </c>
      <c r="AN32" s="7">
        <f t="shared" si="18"/>
        <v>430</v>
      </c>
      <c r="AO32" s="8" t="str">
        <f t="shared" si="19"/>
        <v/>
      </c>
      <c r="AP32" s="7">
        <f>((((AP27)+(AP28))+(AP29))+(AP30))+(AP31)</f>
        <v>466.3</v>
      </c>
      <c r="AQ32" s="7">
        <f>((((AQ27)+(AQ28))+(AQ29))+(AQ30))+(AQ31)</f>
        <v>0</v>
      </c>
      <c r="AR32" s="7">
        <f t="shared" si="20"/>
        <v>466.3</v>
      </c>
      <c r="AS32" s="8" t="str">
        <f t="shared" si="21"/>
        <v/>
      </c>
      <c r="AT32" s="7">
        <f t="shared" si="22"/>
        <v>5108.3500000000004</v>
      </c>
      <c r="AU32" s="7">
        <f t="shared" si="23"/>
        <v>2500</v>
      </c>
      <c r="AV32" s="7">
        <f t="shared" si="24"/>
        <v>2608.3500000000004</v>
      </c>
      <c r="AW32" s="8">
        <f t="shared" si="25"/>
        <v>2.0433400000000002</v>
      </c>
    </row>
    <row r="33" spans="1:49" x14ac:dyDescent="0.25">
      <c r="A33" s="3" t="s">
        <v>42</v>
      </c>
      <c r="B33" s="4"/>
      <c r="C33" s="5">
        <f>600</f>
        <v>600</v>
      </c>
      <c r="D33" s="5">
        <f t="shared" si="0"/>
        <v>-600</v>
      </c>
      <c r="E33" s="6">
        <f t="shared" si="1"/>
        <v>0</v>
      </c>
      <c r="F33" s="4"/>
      <c r="G33" s="5">
        <f>0</f>
        <v>0</v>
      </c>
      <c r="H33" s="5">
        <f t="shared" si="2"/>
        <v>0</v>
      </c>
      <c r="I33" s="6" t="str">
        <f t="shared" si="3"/>
        <v/>
      </c>
      <c r="J33" s="4"/>
      <c r="K33" s="5">
        <f>0</f>
        <v>0</v>
      </c>
      <c r="L33" s="5">
        <f t="shared" si="4"/>
        <v>0</v>
      </c>
      <c r="M33" s="6" t="str">
        <f t="shared" si="5"/>
        <v/>
      </c>
      <c r="N33" s="4"/>
      <c r="O33" s="5">
        <f>0</f>
        <v>0</v>
      </c>
      <c r="P33" s="5">
        <f t="shared" si="6"/>
        <v>0</v>
      </c>
      <c r="Q33" s="6" t="str">
        <f t="shared" si="7"/>
        <v/>
      </c>
      <c r="R33" s="4"/>
      <c r="S33" s="5">
        <f>0</f>
        <v>0</v>
      </c>
      <c r="T33" s="5">
        <f t="shared" si="8"/>
        <v>0</v>
      </c>
      <c r="U33" s="6" t="str">
        <f t="shared" si="9"/>
        <v/>
      </c>
      <c r="V33" s="5">
        <f>1440.28</f>
        <v>1440.28</v>
      </c>
      <c r="W33" s="5">
        <f>0</f>
        <v>0</v>
      </c>
      <c r="X33" s="5">
        <f t="shared" si="10"/>
        <v>1440.28</v>
      </c>
      <c r="Y33" s="6" t="str">
        <f t="shared" si="11"/>
        <v/>
      </c>
      <c r="Z33" s="5">
        <f>23</f>
        <v>23</v>
      </c>
      <c r="AA33" s="5">
        <f>0</f>
        <v>0</v>
      </c>
      <c r="AB33" s="5">
        <f t="shared" si="12"/>
        <v>23</v>
      </c>
      <c r="AC33" s="6" t="str">
        <f t="shared" si="13"/>
        <v/>
      </c>
      <c r="AD33" s="4"/>
      <c r="AE33" s="5">
        <f>0</f>
        <v>0</v>
      </c>
      <c r="AF33" s="5">
        <f t="shared" si="14"/>
        <v>0</v>
      </c>
      <c r="AG33" s="6" t="str">
        <f t="shared" si="15"/>
        <v/>
      </c>
      <c r="AH33" s="4"/>
      <c r="AI33" s="5">
        <f>0</f>
        <v>0</v>
      </c>
      <c r="AJ33" s="5">
        <f t="shared" si="16"/>
        <v>0</v>
      </c>
      <c r="AK33" s="6" t="str">
        <f t="shared" si="17"/>
        <v/>
      </c>
      <c r="AL33" s="4"/>
      <c r="AM33" s="5">
        <f>0</f>
        <v>0</v>
      </c>
      <c r="AN33" s="5">
        <f t="shared" si="18"/>
        <v>0</v>
      </c>
      <c r="AO33" s="6" t="str">
        <f t="shared" si="19"/>
        <v/>
      </c>
      <c r="AP33" s="4"/>
      <c r="AQ33" s="5">
        <f>0</f>
        <v>0</v>
      </c>
      <c r="AR33" s="5">
        <f t="shared" si="20"/>
        <v>0</v>
      </c>
      <c r="AS33" s="6" t="str">
        <f t="shared" si="21"/>
        <v/>
      </c>
      <c r="AT33" s="5">
        <f t="shared" si="22"/>
        <v>1463.28</v>
      </c>
      <c r="AU33" s="5">
        <f t="shared" si="23"/>
        <v>600</v>
      </c>
      <c r="AV33" s="5">
        <f t="shared" si="24"/>
        <v>863.28</v>
      </c>
      <c r="AW33" s="6">
        <f t="shared" si="25"/>
        <v>2.4388000000000001</v>
      </c>
    </row>
    <row r="34" spans="1:49" x14ac:dyDescent="0.25">
      <c r="A34" s="3" t="s">
        <v>43</v>
      </c>
      <c r="B34" s="4"/>
      <c r="C34" s="4"/>
      <c r="D34" s="5">
        <f t="shared" si="0"/>
        <v>0</v>
      </c>
      <c r="E34" s="6" t="str">
        <f t="shared" si="1"/>
        <v/>
      </c>
      <c r="F34" s="4"/>
      <c r="G34" s="4"/>
      <c r="H34" s="5">
        <f t="shared" si="2"/>
        <v>0</v>
      </c>
      <c r="I34" s="6" t="str">
        <f t="shared" si="3"/>
        <v/>
      </c>
      <c r="J34" s="4"/>
      <c r="K34" s="4"/>
      <c r="L34" s="5">
        <f t="shared" si="4"/>
        <v>0</v>
      </c>
      <c r="M34" s="6" t="str">
        <f t="shared" si="5"/>
        <v/>
      </c>
      <c r="N34" s="4"/>
      <c r="O34" s="4"/>
      <c r="P34" s="5">
        <f t="shared" si="6"/>
        <v>0</v>
      </c>
      <c r="Q34" s="6" t="str">
        <f t="shared" si="7"/>
        <v/>
      </c>
      <c r="R34" s="4"/>
      <c r="S34" s="4"/>
      <c r="T34" s="5">
        <f t="shared" si="8"/>
        <v>0</v>
      </c>
      <c r="U34" s="6" t="str">
        <f t="shared" si="9"/>
        <v/>
      </c>
      <c r="V34" s="4"/>
      <c r="W34" s="4"/>
      <c r="X34" s="5">
        <f t="shared" si="10"/>
        <v>0</v>
      </c>
      <c r="Y34" s="6" t="str">
        <f t="shared" si="11"/>
        <v/>
      </c>
      <c r="Z34" s="4"/>
      <c r="AA34" s="4"/>
      <c r="AB34" s="5">
        <f t="shared" si="12"/>
        <v>0</v>
      </c>
      <c r="AC34" s="6" t="str">
        <f t="shared" si="13"/>
        <v/>
      </c>
      <c r="AD34" s="4"/>
      <c r="AE34" s="4"/>
      <c r="AF34" s="5">
        <f t="shared" si="14"/>
        <v>0</v>
      </c>
      <c r="AG34" s="6" t="str">
        <f t="shared" si="15"/>
        <v/>
      </c>
      <c r="AH34" s="4"/>
      <c r="AI34" s="4"/>
      <c r="AJ34" s="5">
        <f t="shared" si="16"/>
        <v>0</v>
      </c>
      <c r="AK34" s="6" t="str">
        <f t="shared" si="17"/>
        <v/>
      </c>
      <c r="AL34" s="4"/>
      <c r="AM34" s="4"/>
      <c r="AN34" s="5">
        <f t="shared" si="18"/>
        <v>0</v>
      </c>
      <c r="AO34" s="6" t="str">
        <f t="shared" si="19"/>
        <v/>
      </c>
      <c r="AP34" s="4"/>
      <c r="AQ34" s="4"/>
      <c r="AR34" s="5">
        <f t="shared" si="20"/>
        <v>0</v>
      </c>
      <c r="AS34" s="6" t="str">
        <f t="shared" si="21"/>
        <v/>
      </c>
      <c r="AT34" s="5">
        <f t="shared" si="22"/>
        <v>0</v>
      </c>
      <c r="AU34" s="5">
        <f t="shared" si="23"/>
        <v>0</v>
      </c>
      <c r="AV34" s="5">
        <f t="shared" si="24"/>
        <v>0</v>
      </c>
      <c r="AW34" s="6" t="str">
        <f t="shared" si="25"/>
        <v/>
      </c>
    </row>
    <row r="35" spans="1:49" x14ac:dyDescent="0.25">
      <c r="A35" s="3" t="s">
        <v>44</v>
      </c>
      <c r="B35" s="5">
        <f>0</f>
        <v>0</v>
      </c>
      <c r="C35" s="4"/>
      <c r="D35" s="5">
        <f t="shared" si="0"/>
        <v>0</v>
      </c>
      <c r="E35" s="6" t="str">
        <f t="shared" si="1"/>
        <v/>
      </c>
      <c r="F35" s="5">
        <f>0</f>
        <v>0</v>
      </c>
      <c r="G35" s="4"/>
      <c r="H35" s="5">
        <f t="shared" si="2"/>
        <v>0</v>
      </c>
      <c r="I35" s="6" t="str">
        <f t="shared" si="3"/>
        <v/>
      </c>
      <c r="J35" s="5">
        <f>-290.63</f>
        <v>-290.63</v>
      </c>
      <c r="K35" s="4"/>
      <c r="L35" s="5">
        <f t="shared" si="4"/>
        <v>-290.63</v>
      </c>
      <c r="M35" s="6" t="str">
        <f t="shared" si="5"/>
        <v/>
      </c>
      <c r="N35" s="4"/>
      <c r="O35" s="4"/>
      <c r="P35" s="5">
        <f t="shared" si="6"/>
        <v>0</v>
      </c>
      <c r="Q35" s="6" t="str">
        <f t="shared" si="7"/>
        <v/>
      </c>
      <c r="R35" s="5">
        <f>0</f>
        <v>0</v>
      </c>
      <c r="S35" s="4"/>
      <c r="T35" s="5">
        <f t="shared" si="8"/>
        <v>0</v>
      </c>
      <c r="U35" s="6" t="str">
        <f t="shared" si="9"/>
        <v/>
      </c>
      <c r="V35" s="5">
        <f>0</f>
        <v>0</v>
      </c>
      <c r="W35" s="4"/>
      <c r="X35" s="5">
        <f t="shared" si="10"/>
        <v>0</v>
      </c>
      <c r="Y35" s="6" t="str">
        <f t="shared" si="11"/>
        <v/>
      </c>
      <c r="Z35" s="5">
        <f>0</f>
        <v>0</v>
      </c>
      <c r="AA35" s="4"/>
      <c r="AB35" s="5">
        <f t="shared" si="12"/>
        <v>0</v>
      </c>
      <c r="AC35" s="6" t="str">
        <f t="shared" si="13"/>
        <v/>
      </c>
      <c r="AD35" s="5">
        <f>0</f>
        <v>0</v>
      </c>
      <c r="AE35" s="4"/>
      <c r="AF35" s="5">
        <f t="shared" si="14"/>
        <v>0</v>
      </c>
      <c r="AG35" s="6" t="str">
        <f t="shared" si="15"/>
        <v/>
      </c>
      <c r="AH35" s="5">
        <f>-1633.24</f>
        <v>-1633.24</v>
      </c>
      <c r="AI35" s="4"/>
      <c r="AJ35" s="5">
        <f t="shared" si="16"/>
        <v>-1633.24</v>
      </c>
      <c r="AK35" s="6" t="str">
        <f t="shared" si="17"/>
        <v/>
      </c>
      <c r="AL35" s="5"/>
      <c r="AM35" s="4"/>
      <c r="AN35" s="5">
        <f t="shared" si="18"/>
        <v>0</v>
      </c>
      <c r="AO35" s="6" t="str">
        <f t="shared" si="19"/>
        <v/>
      </c>
      <c r="AP35" s="5"/>
      <c r="AQ35" s="4"/>
      <c r="AR35" s="5">
        <f t="shared" si="20"/>
        <v>0</v>
      </c>
      <c r="AS35" s="6" t="str">
        <f t="shared" si="21"/>
        <v/>
      </c>
      <c r="AT35" s="5">
        <f t="shared" si="22"/>
        <v>-1923.87</v>
      </c>
      <c r="AU35" s="5">
        <f t="shared" si="23"/>
        <v>0</v>
      </c>
      <c r="AV35" s="5">
        <f t="shared" si="24"/>
        <v>-1923.87</v>
      </c>
      <c r="AW35" s="6" t="str">
        <f t="shared" si="25"/>
        <v/>
      </c>
    </row>
    <row r="36" spans="1:49" x14ac:dyDescent="0.25">
      <c r="A36" s="3" t="s">
        <v>45</v>
      </c>
      <c r="B36" s="5">
        <f>0</f>
        <v>0</v>
      </c>
      <c r="C36" s="5">
        <f>38427</f>
        <v>38427</v>
      </c>
      <c r="D36" s="5">
        <f t="shared" si="0"/>
        <v>-38427</v>
      </c>
      <c r="E36" s="6">
        <f t="shared" si="1"/>
        <v>0</v>
      </c>
      <c r="F36" s="5">
        <f>0</f>
        <v>0</v>
      </c>
      <c r="G36" s="5">
        <f>0</f>
        <v>0</v>
      </c>
      <c r="H36" s="5">
        <f t="shared" si="2"/>
        <v>0</v>
      </c>
      <c r="I36" s="6" t="str">
        <f t="shared" si="3"/>
        <v/>
      </c>
      <c r="J36" s="5">
        <f>0</f>
        <v>0</v>
      </c>
      <c r="K36" s="5">
        <f>0</f>
        <v>0</v>
      </c>
      <c r="L36" s="5">
        <f t="shared" si="4"/>
        <v>0</v>
      </c>
      <c r="M36" s="6" t="str">
        <f t="shared" si="5"/>
        <v/>
      </c>
      <c r="N36" s="4"/>
      <c r="O36" s="5">
        <f>0</f>
        <v>0</v>
      </c>
      <c r="P36" s="5">
        <f t="shared" si="6"/>
        <v>0</v>
      </c>
      <c r="Q36" s="6" t="str">
        <f t="shared" si="7"/>
        <v/>
      </c>
      <c r="R36" s="5">
        <f>0</f>
        <v>0</v>
      </c>
      <c r="S36" s="5">
        <f>0</f>
        <v>0</v>
      </c>
      <c r="T36" s="5">
        <f t="shared" si="8"/>
        <v>0</v>
      </c>
      <c r="U36" s="6" t="str">
        <f t="shared" si="9"/>
        <v/>
      </c>
      <c r="V36" s="5">
        <f>0</f>
        <v>0</v>
      </c>
      <c r="W36" s="5">
        <f>0</f>
        <v>0</v>
      </c>
      <c r="X36" s="5">
        <f t="shared" si="10"/>
        <v>0</v>
      </c>
      <c r="Y36" s="6" t="str">
        <f t="shared" si="11"/>
        <v/>
      </c>
      <c r="Z36" s="5">
        <f>0</f>
        <v>0</v>
      </c>
      <c r="AA36" s="5">
        <f>0</f>
        <v>0</v>
      </c>
      <c r="AB36" s="5">
        <f t="shared" si="12"/>
        <v>0</v>
      </c>
      <c r="AC36" s="6" t="str">
        <f t="shared" si="13"/>
        <v/>
      </c>
      <c r="AD36" s="5">
        <f>0</f>
        <v>0</v>
      </c>
      <c r="AE36" s="5">
        <f>0</f>
        <v>0</v>
      </c>
      <c r="AF36" s="5">
        <f t="shared" si="14"/>
        <v>0</v>
      </c>
      <c r="AG36" s="6" t="str">
        <f t="shared" si="15"/>
        <v/>
      </c>
      <c r="AH36" s="5">
        <f>0</f>
        <v>0</v>
      </c>
      <c r="AI36" s="5">
        <f>0</f>
        <v>0</v>
      </c>
      <c r="AJ36" s="5">
        <f t="shared" si="16"/>
        <v>0</v>
      </c>
      <c r="AK36" s="6" t="str">
        <f t="shared" si="17"/>
        <v/>
      </c>
      <c r="AL36" s="5">
        <f>0</f>
        <v>0</v>
      </c>
      <c r="AM36" s="5">
        <f>0</f>
        <v>0</v>
      </c>
      <c r="AN36" s="5">
        <f t="shared" si="18"/>
        <v>0</v>
      </c>
      <c r="AO36" s="6" t="str">
        <f t="shared" si="19"/>
        <v/>
      </c>
      <c r="AP36" s="5">
        <f>0</f>
        <v>0</v>
      </c>
      <c r="AQ36" s="5">
        <f>0</f>
        <v>0</v>
      </c>
      <c r="AR36" s="5">
        <f t="shared" si="20"/>
        <v>0</v>
      </c>
      <c r="AS36" s="6" t="str">
        <f t="shared" si="21"/>
        <v/>
      </c>
      <c r="AT36" s="5">
        <f t="shared" si="22"/>
        <v>0</v>
      </c>
      <c r="AU36" s="5">
        <f t="shared" si="23"/>
        <v>38427</v>
      </c>
      <c r="AV36" s="5">
        <f t="shared" si="24"/>
        <v>-38427</v>
      </c>
      <c r="AW36" s="6">
        <f t="shared" si="25"/>
        <v>0</v>
      </c>
    </row>
    <row r="37" spans="1:49" x14ac:dyDescent="0.25">
      <c r="A37" s="3" t="s">
        <v>46</v>
      </c>
      <c r="B37" s="4"/>
      <c r="C37" s="5">
        <f>3300</f>
        <v>3300</v>
      </c>
      <c r="D37" s="5">
        <f t="shared" si="0"/>
        <v>-3300</v>
      </c>
      <c r="E37" s="6">
        <f t="shared" si="1"/>
        <v>0</v>
      </c>
      <c r="F37" s="4"/>
      <c r="G37" s="5">
        <f>0</f>
        <v>0</v>
      </c>
      <c r="H37" s="5">
        <f t="shared" si="2"/>
        <v>0</v>
      </c>
      <c r="I37" s="6" t="str">
        <f t="shared" si="3"/>
        <v/>
      </c>
      <c r="J37" s="4"/>
      <c r="K37" s="5">
        <f>0</f>
        <v>0</v>
      </c>
      <c r="L37" s="5">
        <f t="shared" si="4"/>
        <v>0</v>
      </c>
      <c r="M37" s="6" t="str">
        <f t="shared" si="5"/>
        <v/>
      </c>
      <c r="N37" s="4"/>
      <c r="O37" s="5">
        <f>0</f>
        <v>0</v>
      </c>
      <c r="P37" s="5">
        <f t="shared" si="6"/>
        <v>0</v>
      </c>
      <c r="Q37" s="6" t="str">
        <f t="shared" si="7"/>
        <v/>
      </c>
      <c r="R37" s="4"/>
      <c r="S37" s="5">
        <f>0</f>
        <v>0</v>
      </c>
      <c r="T37" s="5">
        <f t="shared" si="8"/>
        <v>0</v>
      </c>
      <c r="U37" s="6" t="str">
        <f t="shared" si="9"/>
        <v/>
      </c>
      <c r="V37" s="5">
        <f>3021.28</f>
        <v>3021.28</v>
      </c>
      <c r="W37" s="5">
        <f>0</f>
        <v>0</v>
      </c>
      <c r="X37" s="5">
        <f t="shared" si="10"/>
        <v>3021.28</v>
      </c>
      <c r="Y37" s="6" t="str">
        <f t="shared" si="11"/>
        <v/>
      </c>
      <c r="Z37" s="5"/>
      <c r="AA37" s="5">
        <f>0</f>
        <v>0</v>
      </c>
      <c r="AB37" s="5">
        <f t="shared" si="12"/>
        <v>0</v>
      </c>
      <c r="AC37" s="6" t="str">
        <f t="shared" si="13"/>
        <v/>
      </c>
      <c r="AD37" s="5"/>
      <c r="AE37" s="5">
        <f>0</f>
        <v>0</v>
      </c>
      <c r="AF37" s="5">
        <f t="shared" si="14"/>
        <v>0</v>
      </c>
      <c r="AG37" s="6" t="str">
        <f t="shared" si="15"/>
        <v/>
      </c>
      <c r="AH37" s="5"/>
      <c r="AI37" s="5">
        <f>0</f>
        <v>0</v>
      </c>
      <c r="AJ37" s="5">
        <f t="shared" si="16"/>
        <v>0</v>
      </c>
      <c r="AK37" s="6" t="str">
        <f t="shared" si="17"/>
        <v/>
      </c>
      <c r="AL37" s="5"/>
      <c r="AM37" s="5">
        <f>0</f>
        <v>0</v>
      </c>
      <c r="AN37" s="5">
        <f t="shared" si="18"/>
        <v>0</v>
      </c>
      <c r="AO37" s="6" t="str">
        <f t="shared" si="19"/>
        <v/>
      </c>
      <c r="AP37" s="5"/>
      <c r="AQ37" s="5">
        <f>0</f>
        <v>0</v>
      </c>
      <c r="AR37" s="5">
        <f t="shared" si="20"/>
        <v>0</v>
      </c>
      <c r="AS37" s="6" t="str">
        <f t="shared" si="21"/>
        <v/>
      </c>
      <c r="AT37" s="5">
        <f t="shared" si="22"/>
        <v>3021.28</v>
      </c>
      <c r="AU37" s="5">
        <f t="shared" si="23"/>
        <v>3300</v>
      </c>
      <c r="AV37" s="5">
        <f t="shared" si="24"/>
        <v>-278.7199999999998</v>
      </c>
      <c r="AW37" s="6">
        <f t="shared" si="25"/>
        <v>0.91553939393939399</v>
      </c>
    </row>
    <row r="38" spans="1:49" x14ac:dyDescent="0.25">
      <c r="A38" s="3" t="s">
        <v>47</v>
      </c>
      <c r="B38" s="4"/>
      <c r="C38" s="5">
        <f>1500</f>
        <v>1500</v>
      </c>
      <c r="D38" s="5">
        <f t="shared" si="0"/>
        <v>-1500</v>
      </c>
      <c r="E38" s="6">
        <f t="shared" si="1"/>
        <v>0</v>
      </c>
      <c r="F38" s="4"/>
      <c r="G38" s="5">
        <f>0</f>
        <v>0</v>
      </c>
      <c r="H38" s="5">
        <f t="shared" si="2"/>
        <v>0</v>
      </c>
      <c r="I38" s="6" t="str">
        <f t="shared" si="3"/>
        <v/>
      </c>
      <c r="J38" s="4"/>
      <c r="K38" s="5">
        <f>0</f>
        <v>0</v>
      </c>
      <c r="L38" s="5">
        <f t="shared" si="4"/>
        <v>0</v>
      </c>
      <c r="M38" s="6" t="str">
        <f t="shared" si="5"/>
        <v/>
      </c>
      <c r="N38" s="4"/>
      <c r="O38" s="5">
        <f>0</f>
        <v>0</v>
      </c>
      <c r="P38" s="5">
        <f t="shared" si="6"/>
        <v>0</v>
      </c>
      <c r="Q38" s="6" t="str">
        <f t="shared" si="7"/>
        <v/>
      </c>
      <c r="R38" s="5">
        <f>1371.21</f>
        <v>1371.21</v>
      </c>
      <c r="S38" s="5">
        <f>0</f>
        <v>0</v>
      </c>
      <c r="T38" s="5">
        <f t="shared" si="8"/>
        <v>1371.21</v>
      </c>
      <c r="U38" s="6" t="str">
        <f t="shared" si="9"/>
        <v/>
      </c>
      <c r="V38" s="5"/>
      <c r="W38" s="5">
        <f>0</f>
        <v>0</v>
      </c>
      <c r="X38" s="5">
        <f t="shared" si="10"/>
        <v>0</v>
      </c>
      <c r="Y38" s="6" t="str">
        <f t="shared" si="11"/>
        <v/>
      </c>
      <c r="Z38" s="5"/>
      <c r="AA38" s="5">
        <f>0</f>
        <v>0</v>
      </c>
      <c r="AB38" s="5">
        <f t="shared" si="12"/>
        <v>0</v>
      </c>
      <c r="AC38" s="6" t="str">
        <f t="shared" si="13"/>
        <v/>
      </c>
      <c r="AD38" s="5"/>
      <c r="AE38" s="5">
        <f>0</f>
        <v>0</v>
      </c>
      <c r="AF38" s="5">
        <f t="shared" si="14"/>
        <v>0</v>
      </c>
      <c r="AG38" s="6" t="str">
        <f t="shared" si="15"/>
        <v/>
      </c>
      <c r="AH38" s="5"/>
      <c r="AI38" s="5">
        <f>0</f>
        <v>0</v>
      </c>
      <c r="AJ38" s="5">
        <f t="shared" si="16"/>
        <v>0</v>
      </c>
      <c r="AK38" s="6" t="str">
        <f t="shared" si="17"/>
        <v/>
      </c>
      <c r="AL38" s="5"/>
      <c r="AM38" s="5">
        <f>0</f>
        <v>0</v>
      </c>
      <c r="AN38" s="5">
        <f t="shared" si="18"/>
        <v>0</v>
      </c>
      <c r="AO38" s="6" t="str">
        <f t="shared" si="19"/>
        <v/>
      </c>
      <c r="AP38" s="5"/>
      <c r="AQ38" s="5">
        <f>0</f>
        <v>0</v>
      </c>
      <c r="AR38" s="5">
        <f t="shared" si="20"/>
        <v>0</v>
      </c>
      <c r="AS38" s="6" t="str">
        <f t="shared" si="21"/>
        <v/>
      </c>
      <c r="AT38" s="5">
        <f t="shared" si="22"/>
        <v>1371.21</v>
      </c>
      <c r="AU38" s="5">
        <f t="shared" si="23"/>
        <v>1500</v>
      </c>
      <c r="AV38" s="5">
        <f t="shared" si="24"/>
        <v>-128.78999999999996</v>
      </c>
      <c r="AW38" s="6">
        <f t="shared" si="25"/>
        <v>0.91414000000000006</v>
      </c>
    </row>
    <row r="39" spans="1:49" x14ac:dyDescent="0.25">
      <c r="A39" s="3" t="s">
        <v>48</v>
      </c>
      <c r="B39" s="5">
        <f>3018.63</f>
        <v>3018.63</v>
      </c>
      <c r="C39" s="5">
        <f>447461</f>
        <v>447461</v>
      </c>
      <c r="D39" s="5">
        <f t="shared" si="0"/>
        <v>-444442.37</v>
      </c>
      <c r="E39" s="6">
        <f t="shared" si="1"/>
        <v>6.7461298303092337E-3</v>
      </c>
      <c r="F39" s="5">
        <f>62211.65</f>
        <v>62211.65</v>
      </c>
      <c r="G39" s="5">
        <f>0</f>
        <v>0</v>
      </c>
      <c r="H39" s="5">
        <f t="shared" si="2"/>
        <v>62211.65</v>
      </c>
      <c r="I39" s="6" t="str">
        <f t="shared" si="3"/>
        <v/>
      </c>
      <c r="J39" s="5">
        <f>100460.01</f>
        <v>100460.01</v>
      </c>
      <c r="K39" s="5">
        <f>0</f>
        <v>0</v>
      </c>
      <c r="L39" s="5">
        <f t="shared" si="4"/>
        <v>100460.01</v>
      </c>
      <c r="M39" s="6" t="str">
        <f t="shared" si="5"/>
        <v/>
      </c>
      <c r="N39" s="4"/>
      <c r="O39" s="5">
        <f>0</f>
        <v>0</v>
      </c>
      <c r="P39" s="5">
        <f t="shared" si="6"/>
        <v>0</v>
      </c>
      <c r="Q39" s="6" t="str">
        <f t="shared" si="7"/>
        <v/>
      </c>
      <c r="R39" s="5">
        <f>59272.54</f>
        <v>59272.54</v>
      </c>
      <c r="S39" s="5">
        <f>0</f>
        <v>0</v>
      </c>
      <c r="T39" s="5">
        <f t="shared" si="8"/>
        <v>59272.54</v>
      </c>
      <c r="U39" s="6" t="str">
        <f t="shared" si="9"/>
        <v/>
      </c>
      <c r="V39" s="5">
        <f>53890.06</f>
        <v>53890.06</v>
      </c>
      <c r="W39" s="5">
        <f>0</f>
        <v>0</v>
      </c>
      <c r="X39" s="5">
        <f t="shared" si="10"/>
        <v>53890.06</v>
      </c>
      <c r="Y39" s="6" t="str">
        <f t="shared" si="11"/>
        <v/>
      </c>
      <c r="Z39" s="5">
        <f>99011.07</f>
        <v>99011.07</v>
      </c>
      <c r="AA39" s="5">
        <f>0</f>
        <v>0</v>
      </c>
      <c r="AB39" s="5">
        <f t="shared" si="12"/>
        <v>99011.07</v>
      </c>
      <c r="AC39" s="6" t="str">
        <f t="shared" si="13"/>
        <v/>
      </c>
      <c r="AD39" s="5">
        <f>6751.6</f>
        <v>6751.6</v>
      </c>
      <c r="AE39" s="5">
        <f>0</f>
        <v>0</v>
      </c>
      <c r="AF39" s="5">
        <f t="shared" si="14"/>
        <v>6751.6</v>
      </c>
      <c r="AG39" s="6" t="str">
        <f t="shared" si="15"/>
        <v/>
      </c>
      <c r="AH39" s="5">
        <f>4939.41</f>
        <v>4939.41</v>
      </c>
      <c r="AI39" s="5">
        <f>0</f>
        <v>0</v>
      </c>
      <c r="AJ39" s="5">
        <f t="shared" si="16"/>
        <v>4939.41</v>
      </c>
      <c r="AK39" s="6" t="str">
        <f t="shared" si="17"/>
        <v/>
      </c>
      <c r="AL39" s="5">
        <f>3513.57</f>
        <v>3513.57</v>
      </c>
      <c r="AM39" s="5">
        <f>0</f>
        <v>0</v>
      </c>
      <c r="AN39" s="5">
        <f t="shared" si="18"/>
        <v>3513.57</v>
      </c>
      <c r="AO39" s="6" t="str">
        <f t="shared" si="19"/>
        <v/>
      </c>
      <c r="AP39" s="5">
        <f>2361.32</f>
        <v>2361.3200000000002</v>
      </c>
      <c r="AQ39" s="5">
        <f>0</f>
        <v>0</v>
      </c>
      <c r="AR39" s="5">
        <f t="shared" si="20"/>
        <v>2361.3200000000002</v>
      </c>
      <c r="AS39" s="6" t="str">
        <f t="shared" si="21"/>
        <v/>
      </c>
      <c r="AT39" s="5">
        <f t="shared" si="22"/>
        <v>395429.86</v>
      </c>
      <c r="AU39" s="5">
        <f t="shared" si="23"/>
        <v>447461</v>
      </c>
      <c r="AV39" s="5">
        <f t="shared" si="24"/>
        <v>-52031.140000000014</v>
      </c>
      <c r="AW39" s="6">
        <f t="shared" si="25"/>
        <v>0.88371916211692192</v>
      </c>
    </row>
    <row r="40" spans="1:49" x14ac:dyDescent="0.25">
      <c r="A40" s="3" t="s">
        <v>49</v>
      </c>
      <c r="B40" s="4"/>
      <c r="C40" s="5">
        <f>6400</f>
        <v>6400</v>
      </c>
      <c r="D40" s="5">
        <f t="shared" si="0"/>
        <v>-6400</v>
      </c>
      <c r="E40" s="6">
        <f t="shared" si="1"/>
        <v>0</v>
      </c>
      <c r="F40" s="4"/>
      <c r="G40" s="5">
        <f>0</f>
        <v>0</v>
      </c>
      <c r="H40" s="5">
        <f t="shared" si="2"/>
        <v>0</v>
      </c>
      <c r="I40" s="6" t="str">
        <f t="shared" si="3"/>
        <v/>
      </c>
      <c r="J40" s="4"/>
      <c r="K40" s="5">
        <f>0</f>
        <v>0</v>
      </c>
      <c r="L40" s="5">
        <f t="shared" si="4"/>
        <v>0</v>
      </c>
      <c r="M40" s="6" t="str">
        <f t="shared" si="5"/>
        <v/>
      </c>
      <c r="N40" s="4"/>
      <c r="O40" s="5">
        <f>0</f>
        <v>0</v>
      </c>
      <c r="P40" s="5">
        <f t="shared" si="6"/>
        <v>0</v>
      </c>
      <c r="Q40" s="6" t="str">
        <f t="shared" si="7"/>
        <v/>
      </c>
      <c r="R40" s="5">
        <f>5863.57</f>
        <v>5863.57</v>
      </c>
      <c r="S40" s="5">
        <f>0</f>
        <v>0</v>
      </c>
      <c r="T40" s="5">
        <f t="shared" si="8"/>
        <v>5863.57</v>
      </c>
      <c r="U40" s="6" t="str">
        <f t="shared" si="9"/>
        <v/>
      </c>
      <c r="V40" s="5"/>
      <c r="W40" s="5">
        <f>0</f>
        <v>0</v>
      </c>
      <c r="X40" s="5">
        <f t="shared" si="10"/>
        <v>0</v>
      </c>
      <c r="Y40" s="6" t="str">
        <f t="shared" si="11"/>
        <v/>
      </c>
      <c r="Z40" s="5"/>
      <c r="AA40" s="5">
        <f>0</f>
        <v>0</v>
      </c>
      <c r="AB40" s="5">
        <f t="shared" si="12"/>
        <v>0</v>
      </c>
      <c r="AC40" s="6" t="str">
        <f t="shared" si="13"/>
        <v/>
      </c>
      <c r="AD40" s="5"/>
      <c r="AE40" s="5">
        <f>0</f>
        <v>0</v>
      </c>
      <c r="AF40" s="5">
        <f t="shared" si="14"/>
        <v>0</v>
      </c>
      <c r="AG40" s="6" t="str">
        <f t="shared" si="15"/>
        <v/>
      </c>
      <c r="AH40" s="5"/>
      <c r="AI40" s="5">
        <f>0</f>
        <v>0</v>
      </c>
      <c r="AJ40" s="5">
        <f t="shared" si="16"/>
        <v>0</v>
      </c>
      <c r="AK40" s="6" t="str">
        <f t="shared" si="17"/>
        <v/>
      </c>
      <c r="AL40" s="5"/>
      <c r="AM40" s="5">
        <f>0</f>
        <v>0</v>
      </c>
      <c r="AN40" s="5">
        <f t="shared" si="18"/>
        <v>0</v>
      </c>
      <c r="AO40" s="6" t="str">
        <f t="shared" si="19"/>
        <v/>
      </c>
      <c r="AP40" s="5"/>
      <c r="AQ40" s="5">
        <f>0</f>
        <v>0</v>
      </c>
      <c r="AR40" s="5">
        <f t="shared" si="20"/>
        <v>0</v>
      </c>
      <c r="AS40" s="6" t="str">
        <f t="shared" si="21"/>
        <v/>
      </c>
      <c r="AT40" s="5">
        <f t="shared" si="22"/>
        <v>5863.57</v>
      </c>
      <c r="AU40" s="5">
        <f t="shared" si="23"/>
        <v>6400</v>
      </c>
      <c r="AV40" s="5">
        <f t="shared" si="24"/>
        <v>-536.43000000000029</v>
      </c>
      <c r="AW40" s="6">
        <f t="shared" si="25"/>
        <v>0.9161828125</v>
      </c>
    </row>
    <row r="41" spans="1:49" x14ac:dyDescent="0.25">
      <c r="A41" s="3" t="s">
        <v>50</v>
      </c>
      <c r="B41" s="5">
        <f>912.27</f>
        <v>912.27</v>
      </c>
      <c r="C41" s="5">
        <f>20000</f>
        <v>20000</v>
      </c>
      <c r="D41" s="5">
        <f t="shared" si="0"/>
        <v>-19087.73</v>
      </c>
      <c r="E41" s="6">
        <f t="shared" si="1"/>
        <v>4.5613500000000001E-2</v>
      </c>
      <c r="F41" s="5">
        <f>1530.2</f>
        <v>1530.2</v>
      </c>
      <c r="G41" s="5">
        <f>0</f>
        <v>0</v>
      </c>
      <c r="H41" s="5">
        <f t="shared" si="2"/>
        <v>1530.2</v>
      </c>
      <c r="I41" s="6" t="str">
        <f t="shared" si="3"/>
        <v/>
      </c>
      <c r="J41" s="5">
        <f>1348.64</f>
        <v>1348.64</v>
      </c>
      <c r="K41" s="5">
        <f>0</f>
        <v>0</v>
      </c>
      <c r="L41" s="5">
        <f t="shared" si="4"/>
        <v>1348.64</v>
      </c>
      <c r="M41" s="6" t="str">
        <f t="shared" si="5"/>
        <v/>
      </c>
      <c r="N41" s="4"/>
      <c r="O41" s="5">
        <f>0</f>
        <v>0</v>
      </c>
      <c r="P41" s="5">
        <f t="shared" si="6"/>
        <v>0</v>
      </c>
      <c r="Q41" s="6" t="str">
        <f t="shared" si="7"/>
        <v/>
      </c>
      <c r="R41" s="5">
        <f>872.86</f>
        <v>872.86</v>
      </c>
      <c r="S41" s="5">
        <f>0</f>
        <v>0</v>
      </c>
      <c r="T41" s="5">
        <f t="shared" si="8"/>
        <v>872.86</v>
      </c>
      <c r="U41" s="6" t="str">
        <f t="shared" si="9"/>
        <v/>
      </c>
      <c r="V41" s="5">
        <f>1034.83</f>
        <v>1034.83</v>
      </c>
      <c r="W41" s="5">
        <f>0</f>
        <v>0</v>
      </c>
      <c r="X41" s="5">
        <f t="shared" si="10"/>
        <v>1034.83</v>
      </c>
      <c r="Y41" s="6" t="str">
        <f t="shared" si="11"/>
        <v/>
      </c>
      <c r="Z41" s="5">
        <f>1582.85</f>
        <v>1582.85</v>
      </c>
      <c r="AA41" s="5">
        <f>0</f>
        <v>0</v>
      </c>
      <c r="AB41" s="5">
        <f t="shared" si="12"/>
        <v>1582.85</v>
      </c>
      <c r="AC41" s="6" t="str">
        <f t="shared" si="13"/>
        <v/>
      </c>
      <c r="AD41" s="5">
        <f>1509.22</f>
        <v>1509.22</v>
      </c>
      <c r="AE41" s="5">
        <f>0</f>
        <v>0</v>
      </c>
      <c r="AF41" s="5">
        <f t="shared" si="14"/>
        <v>1509.22</v>
      </c>
      <c r="AG41" s="6" t="str">
        <f t="shared" si="15"/>
        <v/>
      </c>
      <c r="AH41" s="5">
        <f>995.27</f>
        <v>995.27</v>
      </c>
      <c r="AI41" s="5">
        <f>0</f>
        <v>0</v>
      </c>
      <c r="AJ41" s="5">
        <f t="shared" si="16"/>
        <v>995.27</v>
      </c>
      <c r="AK41" s="6" t="str">
        <f t="shared" si="17"/>
        <v/>
      </c>
      <c r="AL41" s="5">
        <f>1207.81</f>
        <v>1207.81</v>
      </c>
      <c r="AM41" s="5">
        <f>0</f>
        <v>0</v>
      </c>
      <c r="AN41" s="5">
        <f t="shared" si="18"/>
        <v>1207.81</v>
      </c>
      <c r="AO41" s="6" t="str">
        <f t="shared" si="19"/>
        <v/>
      </c>
      <c r="AP41" s="5">
        <f>1326.74</f>
        <v>1326.74</v>
      </c>
      <c r="AQ41" s="5">
        <f>0</f>
        <v>0</v>
      </c>
      <c r="AR41" s="5">
        <f t="shared" si="20"/>
        <v>1326.74</v>
      </c>
      <c r="AS41" s="6" t="str">
        <f t="shared" si="21"/>
        <v/>
      </c>
      <c r="AT41" s="5">
        <f t="shared" si="22"/>
        <v>12320.689999999999</v>
      </c>
      <c r="AU41" s="5">
        <f t="shared" si="23"/>
        <v>20000</v>
      </c>
      <c r="AV41" s="5">
        <f t="shared" si="24"/>
        <v>-7679.3100000000013</v>
      </c>
      <c r="AW41" s="6">
        <f t="shared" si="25"/>
        <v>0.61603449999999993</v>
      </c>
    </row>
    <row r="42" spans="1:49" x14ac:dyDescent="0.25">
      <c r="A42" s="3" t="s">
        <v>51</v>
      </c>
      <c r="B42" s="5">
        <f>0</f>
        <v>0</v>
      </c>
      <c r="C42" s="5">
        <f>7000</f>
        <v>7000</v>
      </c>
      <c r="D42" s="5">
        <f t="shared" si="0"/>
        <v>-7000</v>
      </c>
      <c r="E42" s="6">
        <f t="shared" si="1"/>
        <v>0</v>
      </c>
      <c r="F42" s="5">
        <f>0</f>
        <v>0</v>
      </c>
      <c r="G42" s="5">
        <f>0</f>
        <v>0</v>
      </c>
      <c r="H42" s="5">
        <f t="shared" si="2"/>
        <v>0</v>
      </c>
      <c r="I42" s="6" t="str">
        <f t="shared" si="3"/>
        <v/>
      </c>
      <c r="J42" s="5">
        <f>-5.37</f>
        <v>-5.37</v>
      </c>
      <c r="K42" s="5">
        <f>0</f>
        <v>0</v>
      </c>
      <c r="L42" s="5">
        <f t="shared" si="4"/>
        <v>-5.37</v>
      </c>
      <c r="M42" s="6" t="str">
        <f t="shared" si="5"/>
        <v/>
      </c>
      <c r="N42" s="4"/>
      <c r="O42" s="5">
        <f>0</f>
        <v>0</v>
      </c>
      <c r="P42" s="5">
        <f t="shared" si="6"/>
        <v>0</v>
      </c>
      <c r="Q42" s="6" t="str">
        <f t="shared" si="7"/>
        <v/>
      </c>
      <c r="R42" s="5">
        <f>6.76</f>
        <v>6.76</v>
      </c>
      <c r="S42" s="5">
        <f>0</f>
        <v>0</v>
      </c>
      <c r="T42" s="5">
        <f t="shared" si="8"/>
        <v>6.76</v>
      </c>
      <c r="U42" s="6" t="str">
        <f t="shared" si="9"/>
        <v/>
      </c>
      <c r="V42" s="5">
        <f>5.93</f>
        <v>5.93</v>
      </c>
      <c r="W42" s="5">
        <f>0</f>
        <v>0</v>
      </c>
      <c r="X42" s="5">
        <f t="shared" si="10"/>
        <v>5.93</v>
      </c>
      <c r="Y42" s="6" t="str">
        <f t="shared" si="11"/>
        <v/>
      </c>
      <c r="Z42" s="5">
        <f>179.03</f>
        <v>179.03</v>
      </c>
      <c r="AA42" s="5">
        <f>0</f>
        <v>0</v>
      </c>
      <c r="AB42" s="5">
        <f t="shared" si="12"/>
        <v>179.03</v>
      </c>
      <c r="AC42" s="6" t="str">
        <f t="shared" si="13"/>
        <v/>
      </c>
      <c r="AD42" s="5">
        <f>128.12</f>
        <v>128.12</v>
      </c>
      <c r="AE42" s="5">
        <f>0</f>
        <v>0</v>
      </c>
      <c r="AF42" s="5">
        <f t="shared" si="14"/>
        <v>128.12</v>
      </c>
      <c r="AG42" s="6" t="str">
        <f t="shared" si="15"/>
        <v/>
      </c>
      <c r="AH42" s="5">
        <f>194.89</f>
        <v>194.89</v>
      </c>
      <c r="AI42" s="5">
        <f>0</f>
        <v>0</v>
      </c>
      <c r="AJ42" s="5">
        <f t="shared" si="16"/>
        <v>194.89</v>
      </c>
      <c r="AK42" s="6" t="str">
        <f t="shared" si="17"/>
        <v/>
      </c>
      <c r="AL42" s="5">
        <f>163</f>
        <v>163</v>
      </c>
      <c r="AM42" s="5">
        <f>0</f>
        <v>0</v>
      </c>
      <c r="AN42" s="5">
        <f t="shared" si="18"/>
        <v>163</v>
      </c>
      <c r="AO42" s="6" t="str">
        <f t="shared" si="19"/>
        <v/>
      </c>
      <c r="AP42" s="5">
        <f>145.87</f>
        <v>145.87</v>
      </c>
      <c r="AQ42" s="5">
        <f>0</f>
        <v>0</v>
      </c>
      <c r="AR42" s="5">
        <f t="shared" si="20"/>
        <v>145.87</v>
      </c>
      <c r="AS42" s="6" t="str">
        <f t="shared" si="21"/>
        <v/>
      </c>
      <c r="AT42" s="5">
        <f t="shared" si="22"/>
        <v>818.23</v>
      </c>
      <c r="AU42" s="5">
        <f t="shared" si="23"/>
        <v>7000</v>
      </c>
      <c r="AV42" s="5">
        <f t="shared" si="24"/>
        <v>-6181.77</v>
      </c>
      <c r="AW42" s="6">
        <f t="shared" si="25"/>
        <v>0.11689000000000001</v>
      </c>
    </row>
    <row r="43" spans="1:49" x14ac:dyDescent="0.25">
      <c r="A43" s="3" t="s">
        <v>52</v>
      </c>
      <c r="B43" s="7">
        <f>((((((((B34)+(B35))+(B36))+(B37))+(B38))+(B39))+(B40))+(B41))+(B42)</f>
        <v>3930.9</v>
      </c>
      <c r="C43" s="7">
        <f>((((((((C34)+(C35))+(C36))+(C37))+(C38))+(C39))+(C40))+(C41))+(C42)</f>
        <v>524088</v>
      </c>
      <c r="D43" s="7">
        <f t="shared" si="0"/>
        <v>-520157.1</v>
      </c>
      <c r="E43" s="8">
        <f t="shared" si="1"/>
        <v>7.5004579383614964E-3</v>
      </c>
      <c r="F43" s="7">
        <f>((((((((F34)+(F35))+(F36))+(F37))+(F38))+(F39))+(F40))+(F41))+(F42)</f>
        <v>63741.85</v>
      </c>
      <c r="G43" s="7">
        <f>((((((((G34)+(G35))+(G36))+(G37))+(G38))+(G39))+(G40))+(G41))+(G42)</f>
        <v>0</v>
      </c>
      <c r="H43" s="7">
        <f t="shared" si="2"/>
        <v>63741.85</v>
      </c>
      <c r="I43" s="8" t="str">
        <f t="shared" si="3"/>
        <v/>
      </c>
      <c r="J43" s="7">
        <f>((((((((J34)+(J35))+(J36))+(J37))+(J38))+(J39))+(J40))+(J41))+(J42)</f>
        <v>101512.65</v>
      </c>
      <c r="K43" s="7">
        <f>((((((((K34)+(K35))+(K36))+(K37))+(K38))+(K39))+(K40))+(K41))+(K42)</f>
        <v>0</v>
      </c>
      <c r="L43" s="7">
        <f t="shared" si="4"/>
        <v>101512.65</v>
      </c>
      <c r="M43" s="8" t="str">
        <f t="shared" si="5"/>
        <v/>
      </c>
      <c r="N43" s="7">
        <f>((((((((N34)+(N35))+(N36))+(N37))+(N38))+(N39))+(N40))+(N41))+(N42)</f>
        <v>0</v>
      </c>
      <c r="O43" s="7">
        <f>((((((((O34)+(O35))+(O36))+(O37))+(O38))+(O39))+(O40))+(O41))+(O42)</f>
        <v>0</v>
      </c>
      <c r="P43" s="7">
        <f t="shared" si="6"/>
        <v>0</v>
      </c>
      <c r="Q43" s="8" t="str">
        <f t="shared" si="7"/>
        <v/>
      </c>
      <c r="R43" s="7">
        <f>((((((((R34)+(R35))+(R36))+(R37))+(R38))+(R39))+(R40))+(R41))+(R42)</f>
        <v>67386.94</v>
      </c>
      <c r="S43" s="7">
        <f>((((((((S34)+(S35))+(S36))+(S37))+(S38))+(S39))+(S40))+(S41))+(S42)</f>
        <v>0</v>
      </c>
      <c r="T43" s="7">
        <f t="shared" si="8"/>
        <v>67386.94</v>
      </c>
      <c r="U43" s="8" t="str">
        <f t="shared" si="9"/>
        <v/>
      </c>
      <c r="V43" s="7">
        <f>((((((((V34)+(V35))+(V36))+(V37))+(V38))+(V39))+(V40))+(V41))+(V42)</f>
        <v>57952.1</v>
      </c>
      <c r="W43" s="7">
        <f>((((((((W34)+(W35))+(W36))+(W37))+(W38))+(W39))+(W40))+(W41))+(W42)</f>
        <v>0</v>
      </c>
      <c r="X43" s="7">
        <f t="shared" si="10"/>
        <v>57952.1</v>
      </c>
      <c r="Y43" s="8" t="str">
        <f t="shared" si="11"/>
        <v/>
      </c>
      <c r="Z43" s="7">
        <f>((((((((Z34)+(Z35))+(Z36))+(Z37))+(Z38))+(Z39))+(Z40))+(Z41))+(Z42)</f>
        <v>100772.95000000001</v>
      </c>
      <c r="AA43" s="7">
        <f>((((((((AA34)+(AA35))+(AA36))+(AA37))+(AA38))+(AA39))+(AA40))+(AA41))+(AA42)</f>
        <v>0</v>
      </c>
      <c r="AB43" s="7">
        <f t="shared" si="12"/>
        <v>100772.95000000001</v>
      </c>
      <c r="AC43" s="8" t="str">
        <f t="shared" si="13"/>
        <v/>
      </c>
      <c r="AD43" s="7">
        <f>((((((((AD34)+(AD35))+(AD36))+(AD37))+(AD38))+(AD39))+(AD40))+(AD41))+(AD42)</f>
        <v>8388.94</v>
      </c>
      <c r="AE43" s="7">
        <f>((((((((AE34)+(AE35))+(AE36))+(AE37))+(AE38))+(AE39))+(AE40))+(AE41))+(AE42)</f>
        <v>0</v>
      </c>
      <c r="AF43" s="7">
        <f t="shared" si="14"/>
        <v>8388.94</v>
      </c>
      <c r="AG43" s="8" t="str">
        <f t="shared" si="15"/>
        <v/>
      </c>
      <c r="AH43" s="7">
        <f>((((((((AH34)+(AH35))+(AH36))+(AH37))+(AH38))+(AH39))+(AH40))+(AH41))+(AH42)</f>
        <v>4496.3300000000008</v>
      </c>
      <c r="AI43" s="7">
        <f>((((((((AI34)+(AI35))+(AI36))+(AI37))+(AI38))+(AI39))+(AI40))+(AI41))+(AI42)</f>
        <v>0</v>
      </c>
      <c r="AJ43" s="7">
        <f t="shared" si="16"/>
        <v>4496.3300000000008</v>
      </c>
      <c r="AK43" s="8" t="str">
        <f t="shared" si="17"/>
        <v/>
      </c>
      <c r="AL43" s="7">
        <f>((((((((AL34)+(AL35))+(AL36))+(AL37))+(AL38))+(AL39))+(AL40))+(AL41))+(AL42)</f>
        <v>4884.38</v>
      </c>
      <c r="AM43" s="7">
        <f>((((((((AM34)+(AM35))+(AM36))+(AM37))+(AM38))+(AM39))+(AM40))+(AM41))+(AM42)</f>
        <v>0</v>
      </c>
      <c r="AN43" s="7">
        <f t="shared" si="18"/>
        <v>4884.38</v>
      </c>
      <c r="AO43" s="8" t="str">
        <f t="shared" si="19"/>
        <v/>
      </c>
      <c r="AP43" s="7">
        <f>((((((((AP34)+(AP35))+(AP36))+(AP37))+(AP38))+(AP39))+(AP40))+(AP41))+(AP42)</f>
        <v>3833.9300000000003</v>
      </c>
      <c r="AQ43" s="7">
        <f>((((((((AQ34)+(AQ35))+(AQ36))+(AQ37))+(AQ38))+(AQ39))+(AQ40))+(AQ41))+(AQ42)</f>
        <v>0</v>
      </c>
      <c r="AR43" s="7">
        <f t="shared" si="20"/>
        <v>3833.9300000000003</v>
      </c>
      <c r="AS43" s="8" t="str">
        <f t="shared" si="21"/>
        <v/>
      </c>
      <c r="AT43" s="7">
        <f t="shared" si="22"/>
        <v>416900.97000000003</v>
      </c>
      <c r="AU43" s="7">
        <f t="shared" si="23"/>
        <v>524088</v>
      </c>
      <c r="AV43" s="7">
        <f t="shared" si="24"/>
        <v>-107187.02999999997</v>
      </c>
      <c r="AW43" s="8">
        <f t="shared" si="25"/>
        <v>0.7954789462838302</v>
      </c>
    </row>
    <row r="44" spans="1:49" x14ac:dyDescent="0.25">
      <c r="A44" s="3" t="s">
        <v>53</v>
      </c>
      <c r="B44" s="4"/>
      <c r="C44" s="4"/>
      <c r="D44" s="5">
        <f t="shared" si="0"/>
        <v>0</v>
      </c>
      <c r="E44" s="6" t="str">
        <f t="shared" si="1"/>
        <v/>
      </c>
      <c r="F44" s="4"/>
      <c r="G44" s="4"/>
      <c r="H44" s="5">
        <f t="shared" si="2"/>
        <v>0</v>
      </c>
      <c r="I44" s="6" t="str">
        <f t="shared" si="3"/>
        <v/>
      </c>
      <c r="J44" s="4"/>
      <c r="K44" s="4"/>
      <c r="L44" s="5">
        <f t="shared" si="4"/>
        <v>0</v>
      </c>
      <c r="M44" s="6" t="str">
        <f t="shared" si="5"/>
        <v/>
      </c>
      <c r="N44" s="5">
        <f>0</f>
        <v>0</v>
      </c>
      <c r="O44" s="4"/>
      <c r="P44" s="5">
        <f t="shared" si="6"/>
        <v>0</v>
      </c>
      <c r="Q44" s="6" t="str">
        <f t="shared" si="7"/>
        <v/>
      </c>
      <c r="R44" s="5">
        <f>216.41</f>
        <v>216.41</v>
      </c>
      <c r="S44" s="4"/>
      <c r="T44" s="5">
        <f t="shared" si="8"/>
        <v>216.41</v>
      </c>
      <c r="U44" s="6" t="str">
        <f t="shared" si="9"/>
        <v/>
      </c>
      <c r="V44" s="4"/>
      <c r="W44" s="4"/>
      <c r="X44" s="5">
        <f t="shared" si="10"/>
        <v>0</v>
      </c>
      <c r="Y44" s="6" t="str">
        <f t="shared" si="11"/>
        <v/>
      </c>
      <c r="Z44" s="4"/>
      <c r="AA44" s="4"/>
      <c r="AB44" s="5">
        <f t="shared" si="12"/>
        <v>0</v>
      </c>
      <c r="AC44" s="6" t="str">
        <f t="shared" si="13"/>
        <v/>
      </c>
      <c r="AD44" s="4"/>
      <c r="AE44" s="4"/>
      <c r="AF44" s="5">
        <f t="shared" si="14"/>
        <v>0</v>
      </c>
      <c r="AG44" s="6" t="str">
        <f t="shared" si="15"/>
        <v/>
      </c>
      <c r="AH44" s="5">
        <f>6.3</f>
        <v>6.3</v>
      </c>
      <c r="AI44" s="4"/>
      <c r="AJ44" s="5">
        <f t="shared" si="16"/>
        <v>6.3</v>
      </c>
      <c r="AK44" s="6" t="str">
        <f t="shared" si="17"/>
        <v/>
      </c>
      <c r="AL44" s="5">
        <f>150</f>
        <v>150</v>
      </c>
      <c r="AM44" s="4"/>
      <c r="AN44" s="5">
        <f t="shared" si="18"/>
        <v>150</v>
      </c>
      <c r="AO44" s="6" t="str">
        <f t="shared" si="19"/>
        <v/>
      </c>
      <c r="AP44" s="4"/>
      <c r="AQ44" s="4"/>
      <c r="AR44" s="5">
        <f t="shared" si="20"/>
        <v>0</v>
      </c>
      <c r="AS44" s="6" t="str">
        <f t="shared" si="21"/>
        <v/>
      </c>
      <c r="AT44" s="5">
        <f t="shared" si="22"/>
        <v>372.71000000000004</v>
      </c>
      <c r="AU44" s="5">
        <f t="shared" si="23"/>
        <v>0</v>
      </c>
      <c r="AV44" s="5">
        <f t="shared" si="24"/>
        <v>372.71000000000004</v>
      </c>
      <c r="AW44" s="6" t="str">
        <f t="shared" si="25"/>
        <v/>
      </c>
    </row>
    <row r="45" spans="1:49" x14ac:dyDescent="0.25">
      <c r="A45" s="3" t="s">
        <v>54</v>
      </c>
      <c r="B45" s="4"/>
      <c r="C45" s="4"/>
      <c r="D45" s="5">
        <f t="shared" si="0"/>
        <v>0</v>
      </c>
      <c r="E45" s="6" t="str">
        <f t="shared" si="1"/>
        <v/>
      </c>
      <c r="F45" s="4"/>
      <c r="G45" s="4"/>
      <c r="H45" s="5">
        <f t="shared" si="2"/>
        <v>0</v>
      </c>
      <c r="I45" s="6" t="str">
        <f t="shared" si="3"/>
        <v/>
      </c>
      <c r="J45" s="4"/>
      <c r="K45" s="4"/>
      <c r="L45" s="5">
        <f t="shared" si="4"/>
        <v>0</v>
      </c>
      <c r="M45" s="6" t="str">
        <f t="shared" si="5"/>
        <v/>
      </c>
      <c r="N45" s="4"/>
      <c r="O45" s="4"/>
      <c r="P45" s="5">
        <f t="shared" si="6"/>
        <v>0</v>
      </c>
      <c r="Q45" s="6" t="str">
        <f t="shared" si="7"/>
        <v/>
      </c>
      <c r="R45" s="4"/>
      <c r="S45" s="4"/>
      <c r="T45" s="5">
        <f t="shared" si="8"/>
        <v>0</v>
      </c>
      <c r="U45" s="6" t="str">
        <f t="shared" si="9"/>
        <v/>
      </c>
      <c r="V45" s="4"/>
      <c r="W45" s="4"/>
      <c r="X45" s="5">
        <f t="shared" si="10"/>
        <v>0</v>
      </c>
      <c r="Y45" s="6" t="str">
        <f t="shared" si="11"/>
        <v/>
      </c>
      <c r="Z45" s="4"/>
      <c r="AA45" s="4"/>
      <c r="AB45" s="5">
        <f t="shared" si="12"/>
        <v>0</v>
      </c>
      <c r="AC45" s="6" t="str">
        <f t="shared" si="13"/>
        <v/>
      </c>
      <c r="AD45" s="4"/>
      <c r="AE45" s="4"/>
      <c r="AF45" s="5">
        <f t="shared" si="14"/>
        <v>0</v>
      </c>
      <c r="AG45" s="6" t="str">
        <f t="shared" si="15"/>
        <v/>
      </c>
      <c r="AH45" s="4"/>
      <c r="AI45" s="4"/>
      <c r="AJ45" s="5">
        <f t="shared" si="16"/>
        <v>0</v>
      </c>
      <c r="AK45" s="6" t="str">
        <f t="shared" si="17"/>
        <v/>
      </c>
      <c r="AL45" s="4"/>
      <c r="AM45" s="4"/>
      <c r="AN45" s="5">
        <f t="shared" si="18"/>
        <v>0</v>
      </c>
      <c r="AO45" s="6" t="str">
        <f t="shared" si="19"/>
        <v/>
      </c>
      <c r="AP45" s="4"/>
      <c r="AQ45" s="4"/>
      <c r="AR45" s="5">
        <f t="shared" si="20"/>
        <v>0</v>
      </c>
      <c r="AS45" s="6" t="str">
        <f t="shared" si="21"/>
        <v/>
      </c>
      <c r="AT45" s="5">
        <f t="shared" si="22"/>
        <v>0</v>
      </c>
      <c r="AU45" s="5">
        <f t="shared" si="23"/>
        <v>0</v>
      </c>
      <c r="AV45" s="5">
        <f t="shared" si="24"/>
        <v>0</v>
      </c>
      <c r="AW45" s="6" t="str">
        <f t="shared" si="25"/>
        <v/>
      </c>
    </row>
    <row r="46" spans="1:49" x14ac:dyDescent="0.25">
      <c r="A46" s="3" t="s">
        <v>55</v>
      </c>
      <c r="B46" s="5">
        <f>8623.23</f>
        <v>8623.23</v>
      </c>
      <c r="C46" s="5">
        <f>66000</f>
        <v>66000</v>
      </c>
      <c r="D46" s="5">
        <f t="shared" si="0"/>
        <v>-57376.770000000004</v>
      </c>
      <c r="E46" s="6">
        <f t="shared" si="1"/>
        <v>0.13065499999999999</v>
      </c>
      <c r="F46" s="5">
        <f>540</f>
        <v>540</v>
      </c>
      <c r="G46" s="5">
        <f>0</f>
        <v>0</v>
      </c>
      <c r="H46" s="5">
        <f t="shared" si="2"/>
        <v>540</v>
      </c>
      <c r="I46" s="6" t="str">
        <f t="shared" si="3"/>
        <v/>
      </c>
      <c r="J46" s="4"/>
      <c r="K46" s="5">
        <f>0</f>
        <v>0</v>
      </c>
      <c r="L46" s="5">
        <f t="shared" si="4"/>
        <v>0</v>
      </c>
      <c r="M46" s="6" t="str">
        <f t="shared" si="5"/>
        <v/>
      </c>
      <c r="N46" s="4"/>
      <c r="O46" s="5">
        <f>0</f>
        <v>0</v>
      </c>
      <c r="P46" s="5">
        <f t="shared" si="6"/>
        <v>0</v>
      </c>
      <c r="Q46" s="6" t="str">
        <f t="shared" si="7"/>
        <v/>
      </c>
      <c r="R46" s="4"/>
      <c r="S46" s="5">
        <f>0</f>
        <v>0</v>
      </c>
      <c r="T46" s="5">
        <f t="shared" si="8"/>
        <v>0</v>
      </c>
      <c r="U46" s="6" t="str">
        <f t="shared" si="9"/>
        <v/>
      </c>
      <c r="V46" s="4"/>
      <c r="W46" s="5">
        <f>0</f>
        <v>0</v>
      </c>
      <c r="X46" s="5">
        <f t="shared" si="10"/>
        <v>0</v>
      </c>
      <c r="Y46" s="6" t="str">
        <f t="shared" si="11"/>
        <v/>
      </c>
      <c r="Z46" s="4"/>
      <c r="AA46" s="5">
        <f>0</f>
        <v>0</v>
      </c>
      <c r="AB46" s="5">
        <f t="shared" si="12"/>
        <v>0</v>
      </c>
      <c r="AC46" s="6" t="str">
        <f t="shared" si="13"/>
        <v/>
      </c>
      <c r="AD46" s="4"/>
      <c r="AE46" s="5">
        <f>0</f>
        <v>0</v>
      </c>
      <c r="AF46" s="5">
        <f t="shared" si="14"/>
        <v>0</v>
      </c>
      <c r="AG46" s="6" t="str">
        <f t="shared" si="15"/>
        <v/>
      </c>
      <c r="AH46" s="4"/>
      <c r="AI46" s="5">
        <f>0</f>
        <v>0</v>
      </c>
      <c r="AJ46" s="5">
        <f t="shared" si="16"/>
        <v>0</v>
      </c>
      <c r="AK46" s="6" t="str">
        <f t="shared" si="17"/>
        <v/>
      </c>
      <c r="AL46" s="5">
        <f>1500</f>
        <v>1500</v>
      </c>
      <c r="AM46" s="5">
        <f>0</f>
        <v>0</v>
      </c>
      <c r="AN46" s="5">
        <f t="shared" si="18"/>
        <v>1500</v>
      </c>
      <c r="AO46" s="6" t="str">
        <f t="shared" si="19"/>
        <v/>
      </c>
      <c r="AP46" s="5">
        <f>1000</f>
        <v>1000</v>
      </c>
      <c r="AQ46" s="5">
        <f>0</f>
        <v>0</v>
      </c>
      <c r="AR46" s="5">
        <f t="shared" si="20"/>
        <v>1000</v>
      </c>
      <c r="AS46" s="6" t="str">
        <f t="shared" si="21"/>
        <v/>
      </c>
      <c r="AT46" s="5">
        <f t="shared" si="22"/>
        <v>11663.23</v>
      </c>
      <c r="AU46" s="5">
        <f t="shared" si="23"/>
        <v>66000</v>
      </c>
      <c r="AV46" s="5">
        <f t="shared" si="24"/>
        <v>-54336.770000000004</v>
      </c>
      <c r="AW46" s="6">
        <f t="shared" si="25"/>
        <v>0.17671560606060605</v>
      </c>
    </row>
    <row r="47" spans="1:49" x14ac:dyDescent="0.25">
      <c r="A47" s="3" t="s">
        <v>56</v>
      </c>
      <c r="B47" s="4"/>
      <c r="C47" s="5">
        <f>10000</f>
        <v>10000</v>
      </c>
      <c r="D47" s="5">
        <f t="shared" si="0"/>
        <v>-10000</v>
      </c>
      <c r="E47" s="6">
        <f t="shared" si="1"/>
        <v>0</v>
      </c>
      <c r="F47" s="4"/>
      <c r="G47" s="5">
        <f>0</f>
        <v>0</v>
      </c>
      <c r="H47" s="5">
        <f t="shared" si="2"/>
        <v>0</v>
      </c>
      <c r="I47" s="6" t="str">
        <f t="shared" si="3"/>
        <v/>
      </c>
      <c r="J47" s="4"/>
      <c r="K47" s="5">
        <f>0</f>
        <v>0</v>
      </c>
      <c r="L47" s="5">
        <f t="shared" si="4"/>
        <v>0</v>
      </c>
      <c r="M47" s="6" t="str">
        <f t="shared" si="5"/>
        <v/>
      </c>
      <c r="N47" s="4"/>
      <c r="O47" s="5">
        <f>0</f>
        <v>0</v>
      </c>
      <c r="P47" s="5">
        <f t="shared" si="6"/>
        <v>0</v>
      </c>
      <c r="Q47" s="6" t="str">
        <f t="shared" si="7"/>
        <v/>
      </c>
      <c r="R47" s="4"/>
      <c r="S47" s="5">
        <f>0</f>
        <v>0</v>
      </c>
      <c r="T47" s="5">
        <f t="shared" si="8"/>
        <v>0</v>
      </c>
      <c r="U47" s="6" t="str">
        <f t="shared" si="9"/>
        <v/>
      </c>
      <c r="V47" s="4"/>
      <c r="W47" s="5">
        <f>0</f>
        <v>0</v>
      </c>
      <c r="X47" s="5">
        <f t="shared" si="10"/>
        <v>0</v>
      </c>
      <c r="Y47" s="6" t="str">
        <f t="shared" si="11"/>
        <v/>
      </c>
      <c r="Z47" s="4"/>
      <c r="AA47" s="5">
        <f>0</f>
        <v>0</v>
      </c>
      <c r="AB47" s="5">
        <f t="shared" si="12"/>
        <v>0</v>
      </c>
      <c r="AC47" s="6" t="str">
        <f t="shared" si="13"/>
        <v/>
      </c>
      <c r="AD47" s="4"/>
      <c r="AE47" s="5">
        <f>0</f>
        <v>0</v>
      </c>
      <c r="AF47" s="5">
        <f t="shared" si="14"/>
        <v>0</v>
      </c>
      <c r="AG47" s="6" t="str">
        <f t="shared" si="15"/>
        <v/>
      </c>
      <c r="AH47" s="4"/>
      <c r="AI47" s="5">
        <f>0</f>
        <v>0</v>
      </c>
      <c r="AJ47" s="5">
        <f t="shared" si="16"/>
        <v>0</v>
      </c>
      <c r="AK47" s="6" t="str">
        <f t="shared" si="17"/>
        <v/>
      </c>
      <c r="AL47" s="4"/>
      <c r="AM47" s="5">
        <f>0</f>
        <v>0</v>
      </c>
      <c r="AN47" s="5">
        <f t="shared" si="18"/>
        <v>0</v>
      </c>
      <c r="AO47" s="6" t="str">
        <f t="shared" si="19"/>
        <v/>
      </c>
      <c r="AP47" s="4"/>
      <c r="AQ47" s="5">
        <f>0</f>
        <v>0</v>
      </c>
      <c r="AR47" s="5">
        <f t="shared" si="20"/>
        <v>0</v>
      </c>
      <c r="AS47" s="6" t="str">
        <f t="shared" si="21"/>
        <v/>
      </c>
      <c r="AT47" s="5">
        <f t="shared" si="22"/>
        <v>0</v>
      </c>
      <c r="AU47" s="5">
        <f t="shared" si="23"/>
        <v>10000</v>
      </c>
      <c r="AV47" s="5">
        <f t="shared" si="24"/>
        <v>-10000</v>
      </c>
      <c r="AW47" s="6">
        <f t="shared" si="25"/>
        <v>0</v>
      </c>
    </row>
    <row r="48" spans="1:49" x14ac:dyDescent="0.25">
      <c r="A48" s="3" t="s">
        <v>57</v>
      </c>
      <c r="B48" s="4"/>
      <c r="C48" s="5">
        <f>4950</f>
        <v>4950</v>
      </c>
      <c r="D48" s="5">
        <f t="shared" si="0"/>
        <v>-4950</v>
      </c>
      <c r="E48" s="6">
        <f t="shared" si="1"/>
        <v>0</v>
      </c>
      <c r="F48" s="4"/>
      <c r="G48" s="5">
        <f>0</f>
        <v>0</v>
      </c>
      <c r="H48" s="5">
        <f t="shared" si="2"/>
        <v>0</v>
      </c>
      <c r="I48" s="6" t="str">
        <f t="shared" si="3"/>
        <v/>
      </c>
      <c r="J48" s="4"/>
      <c r="K48" s="5">
        <f>0</f>
        <v>0</v>
      </c>
      <c r="L48" s="5">
        <f t="shared" si="4"/>
        <v>0</v>
      </c>
      <c r="M48" s="6" t="str">
        <f t="shared" si="5"/>
        <v/>
      </c>
      <c r="N48" s="4"/>
      <c r="O48" s="5">
        <f>0</f>
        <v>0</v>
      </c>
      <c r="P48" s="5">
        <f t="shared" si="6"/>
        <v>0</v>
      </c>
      <c r="Q48" s="6" t="str">
        <f t="shared" si="7"/>
        <v/>
      </c>
      <c r="R48" s="4"/>
      <c r="S48" s="5">
        <f>0</f>
        <v>0</v>
      </c>
      <c r="T48" s="5">
        <f t="shared" si="8"/>
        <v>0</v>
      </c>
      <c r="U48" s="6" t="str">
        <f t="shared" si="9"/>
        <v/>
      </c>
      <c r="V48" s="4"/>
      <c r="W48" s="5">
        <f>0</f>
        <v>0</v>
      </c>
      <c r="X48" s="5">
        <f t="shared" si="10"/>
        <v>0</v>
      </c>
      <c r="Y48" s="6" t="str">
        <f t="shared" si="11"/>
        <v/>
      </c>
      <c r="Z48" s="4"/>
      <c r="AA48" s="5">
        <f>0</f>
        <v>0</v>
      </c>
      <c r="AB48" s="5">
        <f t="shared" si="12"/>
        <v>0</v>
      </c>
      <c r="AC48" s="6" t="str">
        <f t="shared" si="13"/>
        <v/>
      </c>
      <c r="AD48" s="4"/>
      <c r="AE48" s="5">
        <f>0</f>
        <v>0</v>
      </c>
      <c r="AF48" s="5">
        <f t="shared" si="14"/>
        <v>0</v>
      </c>
      <c r="AG48" s="6" t="str">
        <f t="shared" si="15"/>
        <v/>
      </c>
      <c r="AH48" s="4"/>
      <c r="AI48" s="5">
        <f>0</f>
        <v>0</v>
      </c>
      <c r="AJ48" s="5">
        <f t="shared" si="16"/>
        <v>0</v>
      </c>
      <c r="AK48" s="6" t="str">
        <f t="shared" si="17"/>
        <v/>
      </c>
      <c r="AL48" s="4"/>
      <c r="AM48" s="5">
        <f>0</f>
        <v>0</v>
      </c>
      <c r="AN48" s="5">
        <f t="shared" si="18"/>
        <v>0</v>
      </c>
      <c r="AO48" s="6" t="str">
        <f t="shared" si="19"/>
        <v/>
      </c>
      <c r="AP48" s="4"/>
      <c r="AQ48" s="5">
        <f>0</f>
        <v>0</v>
      </c>
      <c r="AR48" s="5">
        <f t="shared" si="20"/>
        <v>0</v>
      </c>
      <c r="AS48" s="6" t="str">
        <f t="shared" si="21"/>
        <v/>
      </c>
      <c r="AT48" s="5">
        <f t="shared" si="22"/>
        <v>0</v>
      </c>
      <c r="AU48" s="5">
        <f t="shared" si="23"/>
        <v>4950</v>
      </c>
      <c r="AV48" s="5">
        <f t="shared" si="24"/>
        <v>-4950</v>
      </c>
      <c r="AW48" s="6">
        <f t="shared" si="25"/>
        <v>0</v>
      </c>
    </row>
    <row r="49" spans="1:49" x14ac:dyDescent="0.25">
      <c r="A49" s="3" t="s">
        <v>58</v>
      </c>
      <c r="B49" s="4"/>
      <c r="C49" s="5">
        <f>5000</f>
        <v>5000</v>
      </c>
      <c r="D49" s="5">
        <f t="shared" si="0"/>
        <v>-5000</v>
      </c>
      <c r="E49" s="6">
        <f t="shared" si="1"/>
        <v>0</v>
      </c>
      <c r="F49" s="4"/>
      <c r="G49" s="5">
        <f>0</f>
        <v>0</v>
      </c>
      <c r="H49" s="5">
        <f t="shared" si="2"/>
        <v>0</v>
      </c>
      <c r="I49" s="6" t="str">
        <f t="shared" si="3"/>
        <v/>
      </c>
      <c r="J49" s="4"/>
      <c r="K49" s="5">
        <f>0</f>
        <v>0</v>
      </c>
      <c r="L49" s="5">
        <f t="shared" si="4"/>
        <v>0</v>
      </c>
      <c r="M49" s="6" t="str">
        <f t="shared" si="5"/>
        <v/>
      </c>
      <c r="N49" s="5">
        <f>5000</f>
        <v>5000</v>
      </c>
      <c r="O49" s="5">
        <f>0</f>
        <v>0</v>
      </c>
      <c r="P49" s="5">
        <f t="shared" si="6"/>
        <v>5000</v>
      </c>
      <c r="Q49" s="6" t="str">
        <f t="shared" si="7"/>
        <v/>
      </c>
      <c r="R49" s="4"/>
      <c r="S49" s="5">
        <f>0</f>
        <v>0</v>
      </c>
      <c r="T49" s="5">
        <f t="shared" si="8"/>
        <v>0</v>
      </c>
      <c r="U49" s="6" t="str">
        <f t="shared" si="9"/>
        <v/>
      </c>
      <c r="V49" s="4"/>
      <c r="W49" s="5">
        <f>0</f>
        <v>0</v>
      </c>
      <c r="X49" s="5">
        <f t="shared" si="10"/>
        <v>0</v>
      </c>
      <c r="Y49" s="6" t="str">
        <f t="shared" si="11"/>
        <v/>
      </c>
      <c r="Z49" s="4"/>
      <c r="AA49" s="5">
        <f>0</f>
        <v>0</v>
      </c>
      <c r="AB49" s="5">
        <f t="shared" si="12"/>
        <v>0</v>
      </c>
      <c r="AC49" s="6" t="str">
        <f t="shared" si="13"/>
        <v/>
      </c>
      <c r="AD49" s="4"/>
      <c r="AE49" s="5">
        <f>0</f>
        <v>0</v>
      </c>
      <c r="AF49" s="5">
        <f t="shared" si="14"/>
        <v>0</v>
      </c>
      <c r="AG49" s="6" t="str">
        <f t="shared" si="15"/>
        <v/>
      </c>
      <c r="AH49" s="4"/>
      <c r="AI49" s="5">
        <f>0</f>
        <v>0</v>
      </c>
      <c r="AJ49" s="5">
        <f t="shared" si="16"/>
        <v>0</v>
      </c>
      <c r="AK49" s="6" t="str">
        <f t="shared" si="17"/>
        <v/>
      </c>
      <c r="AL49" s="4"/>
      <c r="AM49" s="5">
        <f>0</f>
        <v>0</v>
      </c>
      <c r="AN49" s="5">
        <f t="shared" si="18"/>
        <v>0</v>
      </c>
      <c r="AO49" s="6" t="str">
        <f t="shared" si="19"/>
        <v/>
      </c>
      <c r="AP49" s="4"/>
      <c r="AQ49" s="5">
        <f>0</f>
        <v>0</v>
      </c>
      <c r="AR49" s="5">
        <f t="shared" si="20"/>
        <v>0</v>
      </c>
      <c r="AS49" s="6" t="str">
        <f t="shared" si="21"/>
        <v/>
      </c>
      <c r="AT49" s="5">
        <f t="shared" si="22"/>
        <v>5000</v>
      </c>
      <c r="AU49" s="5">
        <f t="shared" si="23"/>
        <v>5000</v>
      </c>
      <c r="AV49" s="5">
        <f t="shared" si="24"/>
        <v>0</v>
      </c>
      <c r="AW49" s="6">
        <f t="shared" si="25"/>
        <v>1</v>
      </c>
    </row>
    <row r="50" spans="1:49" x14ac:dyDescent="0.25">
      <c r="A50" s="3" t="s">
        <v>59</v>
      </c>
      <c r="B50" s="7">
        <f>(((B46)+(B47))+(B48))+(B49)</f>
        <v>8623.23</v>
      </c>
      <c r="C50" s="7">
        <f>(((C46)+(C47))+(C48))+(C49)</f>
        <v>85950</v>
      </c>
      <c r="D50" s="7">
        <f t="shared" si="0"/>
        <v>-77326.77</v>
      </c>
      <c r="E50" s="8">
        <f t="shared" si="1"/>
        <v>0.1003284467713787</v>
      </c>
      <c r="F50" s="7">
        <f>(((F46)+(F47))+(F48))+(F49)</f>
        <v>540</v>
      </c>
      <c r="G50" s="7">
        <f>(((G46)+(G47))+(G48))+(G49)</f>
        <v>0</v>
      </c>
      <c r="H50" s="7">
        <f t="shared" si="2"/>
        <v>540</v>
      </c>
      <c r="I50" s="8" t="str">
        <f t="shared" si="3"/>
        <v/>
      </c>
      <c r="J50" s="7">
        <f>(((J46)+(J47))+(J48))+(J49)</f>
        <v>0</v>
      </c>
      <c r="K50" s="7">
        <f>(((K46)+(K47))+(K48))+(K49)</f>
        <v>0</v>
      </c>
      <c r="L50" s="7">
        <f t="shared" si="4"/>
        <v>0</v>
      </c>
      <c r="M50" s="8" t="str">
        <f t="shared" si="5"/>
        <v/>
      </c>
      <c r="N50" s="7">
        <f>(((N46)+(N47))+(N48))+(N49)</f>
        <v>5000</v>
      </c>
      <c r="O50" s="7">
        <f>(((O46)+(O47))+(O48))+(O49)</f>
        <v>0</v>
      </c>
      <c r="P50" s="7">
        <f t="shared" si="6"/>
        <v>5000</v>
      </c>
      <c r="Q50" s="8" t="str">
        <f t="shared" si="7"/>
        <v/>
      </c>
      <c r="R50" s="7">
        <f>(((R46)+(R47))+(R48))+(R49)</f>
        <v>0</v>
      </c>
      <c r="S50" s="7">
        <f>(((S46)+(S47))+(S48))+(S49)</f>
        <v>0</v>
      </c>
      <c r="T50" s="7">
        <f t="shared" si="8"/>
        <v>0</v>
      </c>
      <c r="U50" s="8" t="str">
        <f t="shared" si="9"/>
        <v/>
      </c>
      <c r="V50" s="7">
        <f>(((V46)+(V47))+(V48))+(V49)</f>
        <v>0</v>
      </c>
      <c r="W50" s="7">
        <f>(((W46)+(W47))+(W48))+(W49)</f>
        <v>0</v>
      </c>
      <c r="X50" s="7">
        <f t="shared" si="10"/>
        <v>0</v>
      </c>
      <c r="Y50" s="8" t="str">
        <f t="shared" si="11"/>
        <v/>
      </c>
      <c r="Z50" s="7">
        <f>(((Z46)+(Z47))+(Z48))+(Z49)</f>
        <v>0</v>
      </c>
      <c r="AA50" s="7">
        <f>(((AA46)+(AA47))+(AA48))+(AA49)</f>
        <v>0</v>
      </c>
      <c r="AB50" s="7">
        <f t="shared" si="12"/>
        <v>0</v>
      </c>
      <c r="AC50" s="8" t="str">
        <f t="shared" si="13"/>
        <v/>
      </c>
      <c r="AD50" s="7">
        <f>(((AD46)+(AD47))+(AD48))+(AD49)</f>
        <v>0</v>
      </c>
      <c r="AE50" s="7">
        <f>(((AE46)+(AE47))+(AE48))+(AE49)</f>
        <v>0</v>
      </c>
      <c r="AF50" s="7">
        <f t="shared" si="14"/>
        <v>0</v>
      </c>
      <c r="AG50" s="8" t="str">
        <f t="shared" si="15"/>
        <v/>
      </c>
      <c r="AH50" s="7">
        <f>(((AH46)+(AH47))+(AH48))+(AH49)</f>
        <v>0</v>
      </c>
      <c r="AI50" s="7">
        <f>(((AI46)+(AI47))+(AI48))+(AI49)</f>
        <v>0</v>
      </c>
      <c r="AJ50" s="7">
        <f t="shared" si="16"/>
        <v>0</v>
      </c>
      <c r="AK50" s="8" t="str">
        <f t="shared" si="17"/>
        <v/>
      </c>
      <c r="AL50" s="7">
        <f>(((AL46)+(AL47))+(AL48))+(AL49)</f>
        <v>1500</v>
      </c>
      <c r="AM50" s="7">
        <f>(((AM46)+(AM47))+(AM48))+(AM49)</f>
        <v>0</v>
      </c>
      <c r="AN50" s="7">
        <f t="shared" si="18"/>
        <v>1500</v>
      </c>
      <c r="AO50" s="8" t="str">
        <f t="shared" si="19"/>
        <v/>
      </c>
      <c r="AP50" s="7">
        <f>(((AP46)+(AP47))+(AP48))+(AP49)</f>
        <v>1000</v>
      </c>
      <c r="AQ50" s="7">
        <f>(((AQ46)+(AQ47))+(AQ48))+(AQ49)</f>
        <v>0</v>
      </c>
      <c r="AR50" s="7">
        <f t="shared" si="20"/>
        <v>1000</v>
      </c>
      <c r="AS50" s="8" t="str">
        <f t="shared" si="21"/>
        <v/>
      </c>
      <c r="AT50" s="7">
        <f t="shared" si="22"/>
        <v>16663.23</v>
      </c>
      <c r="AU50" s="7">
        <f t="shared" si="23"/>
        <v>85950</v>
      </c>
      <c r="AV50" s="7">
        <f t="shared" si="24"/>
        <v>-69286.77</v>
      </c>
      <c r="AW50" s="8">
        <f t="shared" si="25"/>
        <v>0.19387120418848167</v>
      </c>
    </row>
    <row r="51" spans="1:49" x14ac:dyDescent="0.25">
      <c r="A51" s="3" t="s">
        <v>60</v>
      </c>
      <c r="B51" s="4"/>
      <c r="C51" s="5">
        <f>5000</f>
        <v>5000</v>
      </c>
      <c r="D51" s="5">
        <f t="shared" si="0"/>
        <v>-5000</v>
      </c>
      <c r="E51" s="6">
        <f t="shared" si="1"/>
        <v>0</v>
      </c>
      <c r="F51" s="4"/>
      <c r="G51" s="5">
        <f>0</f>
        <v>0</v>
      </c>
      <c r="H51" s="5">
        <f t="shared" si="2"/>
        <v>0</v>
      </c>
      <c r="I51" s="6" t="str">
        <f t="shared" si="3"/>
        <v/>
      </c>
      <c r="J51" s="4"/>
      <c r="K51" s="5">
        <f>0</f>
        <v>0</v>
      </c>
      <c r="L51" s="5">
        <f t="shared" si="4"/>
        <v>0</v>
      </c>
      <c r="M51" s="6" t="str">
        <f t="shared" si="5"/>
        <v/>
      </c>
      <c r="N51" s="5">
        <f>5000</f>
        <v>5000</v>
      </c>
      <c r="O51" s="5">
        <f>0</f>
        <v>0</v>
      </c>
      <c r="P51" s="5">
        <f t="shared" si="6"/>
        <v>5000</v>
      </c>
      <c r="Q51" s="6" t="str">
        <f t="shared" si="7"/>
        <v/>
      </c>
      <c r="R51" s="4"/>
      <c r="S51" s="5">
        <f>0</f>
        <v>0</v>
      </c>
      <c r="T51" s="5">
        <f t="shared" si="8"/>
        <v>0</v>
      </c>
      <c r="U51" s="6" t="str">
        <f t="shared" si="9"/>
        <v/>
      </c>
      <c r="V51" s="4"/>
      <c r="W51" s="5">
        <f>0</f>
        <v>0</v>
      </c>
      <c r="X51" s="5">
        <f t="shared" si="10"/>
        <v>0</v>
      </c>
      <c r="Y51" s="6" t="str">
        <f t="shared" si="11"/>
        <v/>
      </c>
      <c r="Z51" s="4"/>
      <c r="AA51" s="5">
        <f>0</f>
        <v>0</v>
      </c>
      <c r="AB51" s="5">
        <f t="shared" si="12"/>
        <v>0</v>
      </c>
      <c r="AC51" s="6" t="str">
        <f t="shared" si="13"/>
        <v/>
      </c>
      <c r="AD51" s="4"/>
      <c r="AE51" s="5">
        <f>0</f>
        <v>0</v>
      </c>
      <c r="AF51" s="5">
        <f t="shared" si="14"/>
        <v>0</v>
      </c>
      <c r="AG51" s="6" t="str">
        <f t="shared" si="15"/>
        <v/>
      </c>
      <c r="AH51" s="4"/>
      <c r="AI51" s="5">
        <f>0</f>
        <v>0</v>
      </c>
      <c r="AJ51" s="5">
        <f t="shared" si="16"/>
        <v>0</v>
      </c>
      <c r="AK51" s="6" t="str">
        <f t="shared" si="17"/>
        <v/>
      </c>
      <c r="AL51" s="4"/>
      <c r="AM51" s="5">
        <f>0</f>
        <v>0</v>
      </c>
      <c r="AN51" s="5">
        <f t="shared" si="18"/>
        <v>0</v>
      </c>
      <c r="AO51" s="6" t="str">
        <f t="shared" si="19"/>
        <v/>
      </c>
      <c r="AP51" s="4"/>
      <c r="AQ51" s="5">
        <f>0</f>
        <v>0</v>
      </c>
      <c r="AR51" s="5">
        <f t="shared" si="20"/>
        <v>0</v>
      </c>
      <c r="AS51" s="6" t="str">
        <f t="shared" si="21"/>
        <v/>
      </c>
      <c r="AT51" s="5">
        <f t="shared" si="22"/>
        <v>5000</v>
      </c>
      <c r="AU51" s="5">
        <f t="shared" si="23"/>
        <v>5000</v>
      </c>
      <c r="AV51" s="5">
        <f t="shared" si="24"/>
        <v>0</v>
      </c>
      <c r="AW51" s="6">
        <f t="shared" si="25"/>
        <v>1</v>
      </c>
    </row>
    <row r="52" spans="1:49" x14ac:dyDescent="0.25">
      <c r="A52" s="3" t="s">
        <v>61</v>
      </c>
      <c r="B52" s="7">
        <f>((B45)+(B50))+(B51)</f>
        <v>8623.23</v>
      </c>
      <c r="C52" s="7">
        <f>((C45)+(C50))+(C51)</f>
        <v>90950</v>
      </c>
      <c r="D52" s="7">
        <f t="shared" si="0"/>
        <v>-82326.77</v>
      </c>
      <c r="E52" s="8">
        <f t="shared" si="1"/>
        <v>9.4812864211104991E-2</v>
      </c>
      <c r="F52" s="7">
        <f>((F45)+(F50))+(F51)</f>
        <v>540</v>
      </c>
      <c r="G52" s="7">
        <f>((G45)+(G50))+(G51)</f>
        <v>0</v>
      </c>
      <c r="H52" s="7">
        <f t="shared" si="2"/>
        <v>540</v>
      </c>
      <c r="I52" s="8" t="str">
        <f t="shared" si="3"/>
        <v/>
      </c>
      <c r="J52" s="7">
        <f>((J45)+(J50))+(J51)</f>
        <v>0</v>
      </c>
      <c r="K52" s="7">
        <f>((K45)+(K50))+(K51)</f>
        <v>0</v>
      </c>
      <c r="L52" s="7">
        <f t="shared" si="4"/>
        <v>0</v>
      </c>
      <c r="M52" s="8" t="str">
        <f t="shared" si="5"/>
        <v/>
      </c>
      <c r="N52" s="7">
        <f>((N45)+(N50))+(N51)</f>
        <v>10000</v>
      </c>
      <c r="O52" s="7">
        <f>((O45)+(O50))+(O51)</f>
        <v>0</v>
      </c>
      <c r="P52" s="7">
        <f t="shared" si="6"/>
        <v>10000</v>
      </c>
      <c r="Q52" s="8" t="str">
        <f t="shared" si="7"/>
        <v/>
      </c>
      <c r="R52" s="7">
        <f>((R45)+(R50))+(R51)</f>
        <v>0</v>
      </c>
      <c r="S52" s="7">
        <f>((S45)+(S50))+(S51)</f>
        <v>0</v>
      </c>
      <c r="T52" s="7">
        <f t="shared" si="8"/>
        <v>0</v>
      </c>
      <c r="U52" s="8" t="str">
        <f t="shared" si="9"/>
        <v/>
      </c>
      <c r="V52" s="7">
        <f>((V45)+(V50))+(V51)</f>
        <v>0</v>
      </c>
      <c r="W52" s="7">
        <f>((W45)+(W50))+(W51)</f>
        <v>0</v>
      </c>
      <c r="X52" s="7">
        <f t="shared" si="10"/>
        <v>0</v>
      </c>
      <c r="Y52" s="8" t="str">
        <f t="shared" si="11"/>
        <v/>
      </c>
      <c r="Z52" s="7">
        <f>((Z45)+(Z50))+(Z51)</f>
        <v>0</v>
      </c>
      <c r="AA52" s="7">
        <f>((AA45)+(AA50))+(AA51)</f>
        <v>0</v>
      </c>
      <c r="AB52" s="7">
        <f t="shared" si="12"/>
        <v>0</v>
      </c>
      <c r="AC52" s="8" t="str">
        <f t="shared" si="13"/>
        <v/>
      </c>
      <c r="AD52" s="7">
        <f>((AD45)+(AD50))+(AD51)</f>
        <v>0</v>
      </c>
      <c r="AE52" s="7">
        <f>((AE45)+(AE50))+(AE51)</f>
        <v>0</v>
      </c>
      <c r="AF52" s="7">
        <f t="shared" si="14"/>
        <v>0</v>
      </c>
      <c r="AG52" s="8" t="str">
        <f t="shared" si="15"/>
        <v/>
      </c>
      <c r="AH52" s="7">
        <f>((AH45)+(AH50))+(AH51)</f>
        <v>0</v>
      </c>
      <c r="AI52" s="7">
        <f>((AI45)+(AI50))+(AI51)</f>
        <v>0</v>
      </c>
      <c r="AJ52" s="7">
        <f t="shared" si="16"/>
        <v>0</v>
      </c>
      <c r="AK52" s="8" t="str">
        <f t="shared" si="17"/>
        <v/>
      </c>
      <c r="AL52" s="7">
        <f>((AL45)+(AL50))+(AL51)</f>
        <v>1500</v>
      </c>
      <c r="AM52" s="7">
        <f>((AM45)+(AM50))+(AM51)</f>
        <v>0</v>
      </c>
      <c r="AN52" s="7">
        <f t="shared" si="18"/>
        <v>1500</v>
      </c>
      <c r="AO52" s="8" t="str">
        <f t="shared" si="19"/>
        <v/>
      </c>
      <c r="AP52" s="7">
        <f>((AP45)+(AP50))+(AP51)</f>
        <v>1000</v>
      </c>
      <c r="AQ52" s="7">
        <f>((AQ45)+(AQ50))+(AQ51)</f>
        <v>0</v>
      </c>
      <c r="AR52" s="7">
        <f t="shared" si="20"/>
        <v>1000</v>
      </c>
      <c r="AS52" s="8" t="str">
        <f t="shared" si="21"/>
        <v/>
      </c>
      <c r="AT52" s="7">
        <f t="shared" si="22"/>
        <v>21663.23</v>
      </c>
      <c r="AU52" s="7">
        <f t="shared" si="23"/>
        <v>90950</v>
      </c>
      <c r="AV52" s="7">
        <f t="shared" si="24"/>
        <v>-69286.77</v>
      </c>
      <c r="AW52" s="8">
        <f t="shared" si="25"/>
        <v>0.23818834524463992</v>
      </c>
    </row>
    <row r="53" spans="1:49" x14ac:dyDescent="0.25">
      <c r="A53" s="3" t="s">
        <v>62</v>
      </c>
      <c r="B53" s="7">
        <f>(((((((((B18)+(B19))+(B20))+(B25))+(B26))+(B32))+(B33))+(B43))+(B44))+(B52)</f>
        <v>13365.82</v>
      </c>
      <c r="C53" s="7">
        <f>(((((((((C18)+(C19))+(C20))+(C25))+(C26))+(C32))+(C33))+(C43))+(C44))+(C52)</f>
        <v>671998</v>
      </c>
      <c r="D53" s="7">
        <f t="shared" si="0"/>
        <v>-658632.18000000005</v>
      </c>
      <c r="E53" s="8">
        <f t="shared" si="1"/>
        <v>1.988967229069134E-2</v>
      </c>
      <c r="F53" s="7">
        <f>(((((((((F18)+(F19))+(F20))+(F25))+(F26))+(F32))+(F33))+(F43))+(F44))+(F52)</f>
        <v>65010.299999999996</v>
      </c>
      <c r="G53" s="7">
        <f>(((((((((G18)+(G19))+(G20))+(G25))+(G26))+(G32))+(G33))+(G43))+(G44))+(G52)</f>
        <v>0</v>
      </c>
      <c r="H53" s="7">
        <f t="shared" si="2"/>
        <v>65010.299999999996</v>
      </c>
      <c r="I53" s="8" t="str">
        <f t="shared" si="3"/>
        <v/>
      </c>
      <c r="J53" s="7">
        <f>(((((((((J18)+(J19))+(J20))+(J25))+(J26))+(J32))+(J33))+(J43))+(J44))+(J52)</f>
        <v>103160.76</v>
      </c>
      <c r="K53" s="7">
        <f>(((((((((K18)+(K19))+(K20))+(K25))+(K26))+(K32))+(K33))+(K43))+(K44))+(K52)</f>
        <v>0</v>
      </c>
      <c r="L53" s="7">
        <f t="shared" si="4"/>
        <v>103160.76</v>
      </c>
      <c r="M53" s="8" t="str">
        <f t="shared" si="5"/>
        <v/>
      </c>
      <c r="N53" s="7">
        <f>(((((((((N18)+(N19))+(N20))+(N25))+(N26))+(N32))+(N33))+(N43))+(N44))+(N52)</f>
        <v>11155.1</v>
      </c>
      <c r="O53" s="7">
        <f>(((((((((O18)+(O19))+(O20))+(O25))+(O26))+(O32))+(O33))+(O43))+(O44))+(O52)</f>
        <v>0</v>
      </c>
      <c r="P53" s="7">
        <f t="shared" si="6"/>
        <v>11155.1</v>
      </c>
      <c r="Q53" s="8" t="str">
        <f t="shared" si="7"/>
        <v/>
      </c>
      <c r="R53" s="7">
        <f>(((((((((R18)+(R19))+(R20))+(R25))+(R26))+(R32))+(R33))+(R43))+(R44))+(R52)</f>
        <v>69098.010000000009</v>
      </c>
      <c r="S53" s="7">
        <f>(((((((((S18)+(S19))+(S20))+(S25))+(S26))+(S32))+(S33))+(S43))+(S44))+(S52)</f>
        <v>0</v>
      </c>
      <c r="T53" s="7">
        <f t="shared" si="8"/>
        <v>69098.010000000009</v>
      </c>
      <c r="U53" s="8" t="str">
        <f t="shared" si="9"/>
        <v/>
      </c>
      <c r="V53" s="7">
        <f>(((((((((V18)+(V19))+(V20))+(V25))+(V26))+(V32))+(V33))+(V43))+(V44))+(V52)</f>
        <v>61699.1</v>
      </c>
      <c r="W53" s="7">
        <f>(((((((((W18)+(W19))+(W20))+(W25))+(W26))+(W32))+(W33))+(W43))+(W44))+(W52)</f>
        <v>0</v>
      </c>
      <c r="X53" s="7">
        <f t="shared" si="10"/>
        <v>61699.1</v>
      </c>
      <c r="Y53" s="8" t="str">
        <f t="shared" si="11"/>
        <v/>
      </c>
      <c r="Z53" s="7">
        <f>(((((((((Z18)+(Z19))+(Z20))+(Z25))+(Z26))+(Z32))+(Z33))+(Z43))+(Z44))+(Z52)</f>
        <v>102368.43000000001</v>
      </c>
      <c r="AA53" s="7">
        <f>(((((((((AA18)+(AA19))+(AA20))+(AA25))+(AA26))+(AA32))+(AA33))+(AA43))+(AA44))+(AA52)</f>
        <v>0</v>
      </c>
      <c r="AB53" s="7">
        <f t="shared" si="12"/>
        <v>102368.43000000001</v>
      </c>
      <c r="AC53" s="8" t="str">
        <f t="shared" si="13"/>
        <v/>
      </c>
      <c r="AD53" s="7">
        <f>(((((((((AD18)+(AD19))+(AD20))+(AD25))+(AD26))+(AD32))+(AD33))+(AD43))+(AD44))+(AD52)</f>
        <v>10017.69</v>
      </c>
      <c r="AE53" s="7">
        <f>(((((((((AE18)+(AE19))+(AE20))+(AE25))+(AE26))+(AE32))+(AE33))+(AE43))+(AE44))+(AE52)</f>
        <v>0</v>
      </c>
      <c r="AF53" s="7">
        <f t="shared" si="14"/>
        <v>10017.69</v>
      </c>
      <c r="AG53" s="8" t="str">
        <f t="shared" si="15"/>
        <v/>
      </c>
      <c r="AH53" s="7">
        <f>(((((((((AH18)+(AH19))+(AH20))+(AH25))+(AH26))+(AH32))+(AH33))+(AH43))+(AH44))+(AH52)</f>
        <v>6011.6800000000012</v>
      </c>
      <c r="AI53" s="7">
        <f>(((((((((AI18)+(AI19))+(AI20))+(AI25))+(AI26))+(AI32))+(AI33))+(AI43))+(AI44))+(AI52)</f>
        <v>0</v>
      </c>
      <c r="AJ53" s="7">
        <f t="shared" si="16"/>
        <v>6011.6800000000012</v>
      </c>
      <c r="AK53" s="8" t="str">
        <f t="shared" si="17"/>
        <v/>
      </c>
      <c r="AL53" s="7">
        <f>(((((((((AL18)+(AL19))+(AL20))+(AL25))+(AL26))+(AL32))+(AL33))+(AL43))+(AL44))+(AL52)</f>
        <v>8045.49</v>
      </c>
      <c r="AM53" s="7">
        <f>(((((((((AM18)+(AM19))+(AM20))+(AM25))+(AM26))+(AM32))+(AM33))+(AM43))+(AM44))+(AM52)</f>
        <v>0</v>
      </c>
      <c r="AN53" s="7">
        <f t="shared" si="18"/>
        <v>8045.49</v>
      </c>
      <c r="AO53" s="8" t="str">
        <f t="shared" si="19"/>
        <v/>
      </c>
      <c r="AP53" s="7">
        <f>(((((((((AP18)+(AP19))+(AP20))+(AP25))+(AP26))+(AP32))+(AP33))+(AP43))+(AP44))+(AP52)</f>
        <v>6044.85</v>
      </c>
      <c r="AQ53" s="7">
        <f>(((((((((AQ18)+(AQ19))+(AQ20))+(AQ25))+(AQ26))+(AQ32))+(AQ33))+(AQ43))+(AQ44))+(AQ52)</f>
        <v>0</v>
      </c>
      <c r="AR53" s="7">
        <f t="shared" si="20"/>
        <v>6044.85</v>
      </c>
      <c r="AS53" s="8" t="str">
        <f t="shared" si="21"/>
        <v/>
      </c>
      <c r="AT53" s="7">
        <f t="shared" si="22"/>
        <v>455977.23</v>
      </c>
      <c r="AU53" s="7">
        <f t="shared" si="23"/>
        <v>671998</v>
      </c>
      <c r="AV53" s="7">
        <f t="shared" si="24"/>
        <v>-216020.77000000002</v>
      </c>
      <c r="AW53" s="8">
        <f t="shared" si="25"/>
        <v>0.67853956410584548</v>
      </c>
    </row>
    <row r="54" spans="1:49" x14ac:dyDescent="0.25">
      <c r="A54" s="3" t="s">
        <v>63</v>
      </c>
      <c r="B54" s="7">
        <f>(B53)-(0)</f>
        <v>13365.82</v>
      </c>
      <c r="C54" s="7">
        <f>(C53)-(0)</f>
        <v>671998</v>
      </c>
      <c r="D54" s="7">
        <f t="shared" si="0"/>
        <v>-658632.18000000005</v>
      </c>
      <c r="E54" s="8">
        <f t="shared" si="1"/>
        <v>1.988967229069134E-2</v>
      </c>
      <c r="F54" s="7">
        <f>(F53)-(0)</f>
        <v>65010.299999999996</v>
      </c>
      <c r="G54" s="7">
        <f>(G53)-(0)</f>
        <v>0</v>
      </c>
      <c r="H54" s="7">
        <f t="shared" si="2"/>
        <v>65010.299999999996</v>
      </c>
      <c r="I54" s="8" t="str">
        <f t="shared" si="3"/>
        <v/>
      </c>
      <c r="J54" s="7">
        <f>(J53)-(0)</f>
        <v>103160.76</v>
      </c>
      <c r="K54" s="7">
        <f>(K53)-(0)</f>
        <v>0</v>
      </c>
      <c r="L54" s="7">
        <f t="shared" si="4"/>
        <v>103160.76</v>
      </c>
      <c r="M54" s="8" t="str">
        <f t="shared" si="5"/>
        <v/>
      </c>
      <c r="N54" s="7">
        <f>(N53)-(0)</f>
        <v>11155.1</v>
      </c>
      <c r="O54" s="7">
        <f>(O53)-(0)</f>
        <v>0</v>
      </c>
      <c r="P54" s="7">
        <f t="shared" si="6"/>
        <v>11155.1</v>
      </c>
      <c r="Q54" s="8" t="str">
        <f t="shared" si="7"/>
        <v/>
      </c>
      <c r="R54" s="7">
        <f>(R53)-(0)</f>
        <v>69098.010000000009</v>
      </c>
      <c r="S54" s="7">
        <f>(S53)-(0)</f>
        <v>0</v>
      </c>
      <c r="T54" s="7">
        <f t="shared" si="8"/>
        <v>69098.010000000009</v>
      </c>
      <c r="U54" s="8" t="str">
        <f t="shared" si="9"/>
        <v/>
      </c>
      <c r="V54" s="7">
        <f>(V53)-(0)</f>
        <v>61699.1</v>
      </c>
      <c r="W54" s="7">
        <f>(W53)-(0)</f>
        <v>0</v>
      </c>
      <c r="X54" s="7">
        <f t="shared" si="10"/>
        <v>61699.1</v>
      </c>
      <c r="Y54" s="8" t="str">
        <f t="shared" si="11"/>
        <v/>
      </c>
      <c r="Z54" s="7">
        <f>(Z53)-(0)</f>
        <v>102368.43000000001</v>
      </c>
      <c r="AA54" s="7">
        <f>(AA53)-(0)</f>
        <v>0</v>
      </c>
      <c r="AB54" s="7">
        <f t="shared" si="12"/>
        <v>102368.43000000001</v>
      </c>
      <c r="AC54" s="8" t="str">
        <f t="shared" si="13"/>
        <v/>
      </c>
      <c r="AD54" s="7">
        <f>(AD53)-(0)</f>
        <v>10017.69</v>
      </c>
      <c r="AE54" s="7">
        <f>(AE53)-(0)</f>
        <v>0</v>
      </c>
      <c r="AF54" s="7">
        <f t="shared" si="14"/>
        <v>10017.69</v>
      </c>
      <c r="AG54" s="8" t="str">
        <f t="shared" si="15"/>
        <v/>
      </c>
      <c r="AH54" s="7">
        <f>(AH53)-(0)</f>
        <v>6011.6800000000012</v>
      </c>
      <c r="AI54" s="7">
        <f>(AI53)-(0)</f>
        <v>0</v>
      </c>
      <c r="AJ54" s="7">
        <f t="shared" si="16"/>
        <v>6011.6800000000012</v>
      </c>
      <c r="AK54" s="8" t="str">
        <f t="shared" si="17"/>
        <v/>
      </c>
      <c r="AL54" s="7">
        <f>(AL53)-(0)</f>
        <v>8045.49</v>
      </c>
      <c r="AM54" s="7">
        <f>(AM53)-(0)</f>
        <v>0</v>
      </c>
      <c r="AN54" s="7">
        <f t="shared" si="18"/>
        <v>8045.49</v>
      </c>
      <c r="AO54" s="8" t="str">
        <f t="shared" si="19"/>
        <v/>
      </c>
      <c r="AP54" s="7">
        <f>(AP53)-(0)</f>
        <v>6044.85</v>
      </c>
      <c r="AQ54" s="7">
        <f>(AQ53)-(0)</f>
        <v>0</v>
      </c>
      <c r="AR54" s="7">
        <f t="shared" si="20"/>
        <v>6044.85</v>
      </c>
      <c r="AS54" s="8" t="str">
        <f t="shared" si="21"/>
        <v/>
      </c>
      <c r="AT54" s="7">
        <f t="shared" si="22"/>
        <v>455977.23</v>
      </c>
      <c r="AU54" s="7">
        <f t="shared" si="23"/>
        <v>671998</v>
      </c>
      <c r="AV54" s="7">
        <f t="shared" si="24"/>
        <v>-216020.77000000002</v>
      </c>
      <c r="AW54" s="8">
        <f t="shared" si="25"/>
        <v>0.67853956410584548</v>
      </c>
    </row>
    <row r="55" spans="1:49" x14ac:dyDescent="0.25">
      <c r="A55" s="3" t="s">
        <v>64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</row>
    <row r="56" spans="1:49" x14ac:dyDescent="0.25">
      <c r="A56" s="3" t="s">
        <v>65</v>
      </c>
      <c r="B56" s="4"/>
      <c r="C56" s="4"/>
      <c r="D56" s="5">
        <f t="shared" ref="D56:D87" si="26">(B56)-(C56)</f>
        <v>0</v>
      </c>
      <c r="E56" s="6" t="str">
        <f t="shared" ref="E56:E87" si="27">IF(C56=0,"",(B56)/(C56))</f>
        <v/>
      </c>
      <c r="F56" s="4"/>
      <c r="G56" s="4"/>
      <c r="H56" s="5">
        <f t="shared" ref="H56:H87" si="28">(F56)-(G56)</f>
        <v>0</v>
      </c>
      <c r="I56" s="6" t="str">
        <f t="shared" ref="I56:I87" si="29">IF(G56=0,"",(F56)/(G56))</f>
        <v/>
      </c>
      <c r="J56" s="4"/>
      <c r="K56" s="4"/>
      <c r="L56" s="5">
        <f t="shared" ref="L56:L87" si="30">(J56)-(K56)</f>
        <v>0</v>
      </c>
      <c r="M56" s="6" t="str">
        <f t="shared" ref="M56:M87" si="31">IF(K56=0,"",(J56)/(K56))</f>
        <v/>
      </c>
      <c r="N56" s="4"/>
      <c r="O56" s="4"/>
      <c r="P56" s="5">
        <f t="shared" ref="P56:P87" si="32">(N56)-(O56)</f>
        <v>0</v>
      </c>
      <c r="Q56" s="6" t="str">
        <f t="shared" ref="Q56:Q87" si="33">IF(O56=0,"",(N56)/(O56))</f>
        <v/>
      </c>
      <c r="R56" s="4"/>
      <c r="S56" s="4"/>
      <c r="T56" s="5">
        <f t="shared" ref="T56:T87" si="34">(R56)-(S56)</f>
        <v>0</v>
      </c>
      <c r="U56" s="6" t="str">
        <f t="shared" ref="U56:U87" si="35">IF(S56=0,"",(R56)/(S56))</f>
        <v/>
      </c>
      <c r="V56" s="4"/>
      <c r="W56" s="4"/>
      <c r="X56" s="5">
        <f t="shared" ref="X56:X87" si="36">(V56)-(W56)</f>
        <v>0</v>
      </c>
      <c r="Y56" s="6" t="str">
        <f t="shared" ref="Y56:Y87" si="37">IF(W56=0,"",(V56)/(W56))</f>
        <v/>
      </c>
      <c r="Z56" s="4"/>
      <c r="AA56" s="4"/>
      <c r="AB56" s="5">
        <f t="shared" ref="AB56:AB87" si="38">(Z56)-(AA56)</f>
        <v>0</v>
      </c>
      <c r="AC56" s="6" t="str">
        <f t="shared" ref="AC56:AC87" si="39">IF(AA56=0,"",(Z56)/(AA56))</f>
        <v/>
      </c>
      <c r="AD56" s="4"/>
      <c r="AE56" s="4"/>
      <c r="AF56" s="5">
        <f t="shared" ref="AF56:AF87" si="40">(AD56)-(AE56)</f>
        <v>0</v>
      </c>
      <c r="AG56" s="6" t="str">
        <f t="shared" ref="AG56:AG87" si="41">IF(AE56=0,"",(AD56)/(AE56))</f>
        <v/>
      </c>
      <c r="AH56" s="4"/>
      <c r="AI56" s="4"/>
      <c r="AJ56" s="5">
        <f t="shared" ref="AJ56:AJ87" si="42">(AH56)-(AI56)</f>
        <v>0</v>
      </c>
      <c r="AK56" s="6" t="str">
        <f t="shared" ref="AK56:AK87" si="43">IF(AI56=0,"",(AH56)/(AI56))</f>
        <v/>
      </c>
      <c r="AL56" s="4"/>
      <c r="AM56" s="4"/>
      <c r="AN56" s="5">
        <f t="shared" ref="AN56:AN87" si="44">(AL56)-(AM56)</f>
        <v>0</v>
      </c>
      <c r="AO56" s="6" t="str">
        <f t="shared" ref="AO56:AO87" si="45">IF(AM56=0,"",(AL56)/(AM56))</f>
        <v/>
      </c>
      <c r="AP56" s="4"/>
      <c r="AQ56" s="4"/>
      <c r="AR56" s="5">
        <f t="shared" ref="AR56:AR87" si="46">(AP56)-(AQ56)</f>
        <v>0</v>
      </c>
      <c r="AS56" s="6" t="str">
        <f t="shared" ref="AS56:AS87" si="47">IF(AQ56=0,"",(AP56)/(AQ56))</f>
        <v/>
      </c>
      <c r="AT56" s="5">
        <f t="shared" ref="AT56:AT87" si="48">((((((((((B56)+(F56))+(J56))+(N56))+(R56))+(V56))+(Z56))+(AD56))+(AH56))+(AL56))+(AP56)</f>
        <v>0</v>
      </c>
      <c r="AU56" s="5">
        <f t="shared" ref="AU56:AU87" si="49">((((((((((C56)+(G56))+(K56))+(O56))+(S56))+(W56))+(AA56))+(AE56))+(AI56))+(AM56))+(AQ56)</f>
        <v>0</v>
      </c>
      <c r="AV56" s="5">
        <f t="shared" ref="AV56:AV87" si="50">(AT56)-(AU56)</f>
        <v>0</v>
      </c>
      <c r="AW56" s="6" t="str">
        <f t="shared" ref="AW56:AW87" si="51">IF(AU56=0,"",(AT56)/(AU56))</f>
        <v/>
      </c>
    </row>
    <row r="57" spans="1:49" x14ac:dyDescent="0.25">
      <c r="A57" s="3" t="s">
        <v>66</v>
      </c>
      <c r="B57" s="4"/>
      <c r="C57" s="5">
        <f>500</f>
        <v>500</v>
      </c>
      <c r="D57" s="5">
        <f t="shared" si="26"/>
        <v>-500</v>
      </c>
      <c r="E57" s="6">
        <f t="shared" si="27"/>
        <v>0</v>
      </c>
      <c r="F57" s="4"/>
      <c r="G57" s="5">
        <f>0</f>
        <v>0</v>
      </c>
      <c r="H57" s="5">
        <f t="shared" si="28"/>
        <v>0</v>
      </c>
      <c r="I57" s="6" t="str">
        <f t="shared" si="29"/>
        <v/>
      </c>
      <c r="J57" s="4"/>
      <c r="K57" s="5">
        <f>0</f>
        <v>0</v>
      </c>
      <c r="L57" s="5">
        <f t="shared" si="30"/>
        <v>0</v>
      </c>
      <c r="M57" s="6" t="str">
        <f t="shared" si="31"/>
        <v/>
      </c>
      <c r="N57" s="4"/>
      <c r="O57" s="5">
        <f>0</f>
        <v>0</v>
      </c>
      <c r="P57" s="5">
        <f t="shared" si="32"/>
        <v>0</v>
      </c>
      <c r="Q57" s="6" t="str">
        <f t="shared" si="33"/>
        <v/>
      </c>
      <c r="R57" s="4"/>
      <c r="S57" s="5">
        <f>0</f>
        <v>0</v>
      </c>
      <c r="T57" s="5">
        <f t="shared" si="34"/>
        <v>0</v>
      </c>
      <c r="U57" s="6" t="str">
        <f t="shared" si="35"/>
        <v/>
      </c>
      <c r="V57" s="5">
        <f>220</f>
        <v>220</v>
      </c>
      <c r="W57" s="5">
        <f>0</f>
        <v>0</v>
      </c>
      <c r="X57" s="5">
        <f t="shared" si="36"/>
        <v>220</v>
      </c>
      <c r="Y57" s="6" t="str">
        <f t="shared" si="37"/>
        <v/>
      </c>
      <c r="Z57" s="4"/>
      <c r="AA57" s="5">
        <f>0</f>
        <v>0</v>
      </c>
      <c r="AB57" s="5">
        <f t="shared" si="38"/>
        <v>0</v>
      </c>
      <c r="AC57" s="6" t="str">
        <f t="shared" si="39"/>
        <v/>
      </c>
      <c r="AD57" s="5">
        <f>55</f>
        <v>55</v>
      </c>
      <c r="AE57" s="5">
        <f>0</f>
        <v>0</v>
      </c>
      <c r="AF57" s="5">
        <f t="shared" si="40"/>
        <v>55</v>
      </c>
      <c r="AG57" s="6" t="str">
        <f t="shared" si="41"/>
        <v/>
      </c>
      <c r="AH57" s="4"/>
      <c r="AI57" s="5">
        <f>0</f>
        <v>0</v>
      </c>
      <c r="AJ57" s="5">
        <f t="shared" si="42"/>
        <v>0</v>
      </c>
      <c r="AK57" s="6" t="str">
        <f t="shared" si="43"/>
        <v/>
      </c>
      <c r="AL57" s="4"/>
      <c r="AM57" s="5">
        <f>0</f>
        <v>0</v>
      </c>
      <c r="AN57" s="5">
        <f t="shared" si="44"/>
        <v>0</v>
      </c>
      <c r="AO57" s="6" t="str">
        <f t="shared" si="45"/>
        <v/>
      </c>
      <c r="AP57" s="4"/>
      <c r="AQ57" s="5">
        <f>0</f>
        <v>0</v>
      </c>
      <c r="AR57" s="5">
        <f t="shared" si="46"/>
        <v>0</v>
      </c>
      <c r="AS57" s="6" t="str">
        <f t="shared" si="47"/>
        <v/>
      </c>
      <c r="AT57" s="5">
        <f t="shared" si="48"/>
        <v>275</v>
      </c>
      <c r="AU57" s="5">
        <f t="shared" si="49"/>
        <v>500</v>
      </c>
      <c r="AV57" s="5">
        <f t="shared" si="50"/>
        <v>-225</v>
      </c>
      <c r="AW57" s="6">
        <f t="shared" si="51"/>
        <v>0.55000000000000004</v>
      </c>
    </row>
    <row r="58" spans="1:49" x14ac:dyDescent="0.25">
      <c r="A58" s="3" t="s">
        <v>67</v>
      </c>
      <c r="B58" s="5">
        <f>15</f>
        <v>15</v>
      </c>
      <c r="C58" s="4"/>
      <c r="D58" s="5">
        <f t="shared" si="26"/>
        <v>15</v>
      </c>
      <c r="E58" s="6" t="str">
        <f t="shared" si="27"/>
        <v/>
      </c>
      <c r="F58" s="4"/>
      <c r="G58" s="4"/>
      <c r="H58" s="5">
        <f t="shared" si="28"/>
        <v>0</v>
      </c>
      <c r="I58" s="6" t="str">
        <f t="shared" si="29"/>
        <v/>
      </c>
      <c r="J58" s="4"/>
      <c r="K58" s="4"/>
      <c r="L58" s="5">
        <f t="shared" si="30"/>
        <v>0</v>
      </c>
      <c r="M58" s="6" t="str">
        <f t="shared" si="31"/>
        <v/>
      </c>
      <c r="N58" s="4"/>
      <c r="O58" s="4"/>
      <c r="P58" s="5">
        <f t="shared" si="32"/>
        <v>0</v>
      </c>
      <c r="Q58" s="6" t="str">
        <f t="shared" si="33"/>
        <v/>
      </c>
      <c r="R58" s="4"/>
      <c r="S58" s="4"/>
      <c r="T58" s="5">
        <f t="shared" si="34"/>
        <v>0</v>
      </c>
      <c r="U58" s="6" t="str">
        <f t="shared" si="35"/>
        <v/>
      </c>
      <c r="V58" s="4"/>
      <c r="W58" s="4"/>
      <c r="X58" s="5">
        <f t="shared" si="36"/>
        <v>0</v>
      </c>
      <c r="Y58" s="6" t="str">
        <f t="shared" si="37"/>
        <v/>
      </c>
      <c r="Z58" s="4"/>
      <c r="AA58" s="4"/>
      <c r="AB58" s="5">
        <f t="shared" si="38"/>
        <v>0</v>
      </c>
      <c r="AC58" s="6" t="str">
        <f t="shared" si="39"/>
        <v/>
      </c>
      <c r="AD58" s="4"/>
      <c r="AE58" s="4"/>
      <c r="AF58" s="5">
        <f t="shared" si="40"/>
        <v>0</v>
      </c>
      <c r="AG58" s="6" t="str">
        <f t="shared" si="41"/>
        <v/>
      </c>
      <c r="AH58" s="4"/>
      <c r="AI58" s="4"/>
      <c r="AJ58" s="5">
        <f t="shared" si="42"/>
        <v>0</v>
      </c>
      <c r="AK58" s="6" t="str">
        <f t="shared" si="43"/>
        <v/>
      </c>
      <c r="AL58" s="4"/>
      <c r="AM58" s="4"/>
      <c r="AN58" s="5">
        <f t="shared" si="44"/>
        <v>0</v>
      </c>
      <c r="AO58" s="6" t="str">
        <f t="shared" si="45"/>
        <v/>
      </c>
      <c r="AP58" s="4"/>
      <c r="AQ58" s="4"/>
      <c r="AR58" s="5">
        <f t="shared" si="46"/>
        <v>0</v>
      </c>
      <c r="AS58" s="6" t="str">
        <f t="shared" si="47"/>
        <v/>
      </c>
      <c r="AT58" s="5">
        <f t="shared" si="48"/>
        <v>15</v>
      </c>
      <c r="AU58" s="5">
        <f t="shared" si="49"/>
        <v>0</v>
      </c>
      <c r="AV58" s="5">
        <f t="shared" si="50"/>
        <v>15</v>
      </c>
      <c r="AW58" s="6" t="str">
        <f t="shared" si="51"/>
        <v/>
      </c>
    </row>
    <row r="59" spans="1:49" x14ac:dyDescent="0.25">
      <c r="A59" s="3" t="s">
        <v>68</v>
      </c>
      <c r="B59" s="5">
        <f>150</f>
        <v>150</v>
      </c>
      <c r="C59" s="5">
        <f>10000</f>
        <v>10000</v>
      </c>
      <c r="D59" s="5">
        <f t="shared" si="26"/>
        <v>-9850</v>
      </c>
      <c r="E59" s="6">
        <f t="shared" si="27"/>
        <v>1.4999999999999999E-2</v>
      </c>
      <c r="F59" s="5">
        <f>3923.99</f>
        <v>3923.99</v>
      </c>
      <c r="G59" s="5">
        <f>0</f>
        <v>0</v>
      </c>
      <c r="H59" s="5">
        <f t="shared" si="28"/>
        <v>3923.99</v>
      </c>
      <c r="I59" s="6" t="str">
        <f t="shared" si="29"/>
        <v/>
      </c>
      <c r="J59" s="5">
        <f>80</f>
        <v>80</v>
      </c>
      <c r="K59" s="5">
        <f>0</f>
        <v>0</v>
      </c>
      <c r="L59" s="5">
        <f t="shared" si="30"/>
        <v>80</v>
      </c>
      <c r="M59" s="6" t="str">
        <f t="shared" si="31"/>
        <v/>
      </c>
      <c r="N59" s="5">
        <f>42.59</f>
        <v>42.59</v>
      </c>
      <c r="O59" s="5">
        <f>0</f>
        <v>0</v>
      </c>
      <c r="P59" s="5">
        <f t="shared" si="32"/>
        <v>42.59</v>
      </c>
      <c r="Q59" s="6" t="str">
        <f t="shared" si="33"/>
        <v/>
      </c>
      <c r="R59" s="5">
        <f>1147</f>
        <v>1147</v>
      </c>
      <c r="S59" s="5">
        <f>0</f>
        <v>0</v>
      </c>
      <c r="T59" s="5">
        <f t="shared" si="34"/>
        <v>1147</v>
      </c>
      <c r="U59" s="6" t="str">
        <f t="shared" si="35"/>
        <v/>
      </c>
      <c r="V59" s="5">
        <f>1500</f>
        <v>1500</v>
      </c>
      <c r="W59" s="5">
        <f>0</f>
        <v>0</v>
      </c>
      <c r="X59" s="5">
        <f t="shared" si="36"/>
        <v>1500</v>
      </c>
      <c r="Y59" s="6" t="str">
        <f t="shared" si="37"/>
        <v/>
      </c>
      <c r="Z59" s="5">
        <f>1054.59</f>
        <v>1054.5899999999999</v>
      </c>
      <c r="AA59" s="5">
        <f>0</f>
        <v>0</v>
      </c>
      <c r="AB59" s="5">
        <f t="shared" si="38"/>
        <v>1054.5899999999999</v>
      </c>
      <c r="AC59" s="6" t="str">
        <f t="shared" si="39"/>
        <v/>
      </c>
      <c r="AD59" s="5">
        <f>223.4</f>
        <v>223.4</v>
      </c>
      <c r="AE59" s="5">
        <f>0</f>
        <v>0</v>
      </c>
      <c r="AF59" s="5">
        <f t="shared" si="40"/>
        <v>223.4</v>
      </c>
      <c r="AG59" s="6" t="str">
        <f t="shared" si="41"/>
        <v/>
      </c>
      <c r="AH59" s="5">
        <f>740.13</f>
        <v>740.13</v>
      </c>
      <c r="AI59" s="5">
        <f>0</f>
        <v>0</v>
      </c>
      <c r="AJ59" s="5">
        <f t="shared" si="42"/>
        <v>740.13</v>
      </c>
      <c r="AK59" s="6" t="str">
        <f t="shared" si="43"/>
        <v/>
      </c>
      <c r="AL59" s="5">
        <f>2.5</f>
        <v>2.5</v>
      </c>
      <c r="AM59" s="5">
        <f>0</f>
        <v>0</v>
      </c>
      <c r="AN59" s="5">
        <f t="shared" si="44"/>
        <v>2.5</v>
      </c>
      <c r="AO59" s="6" t="str">
        <f t="shared" si="45"/>
        <v/>
      </c>
      <c r="AP59" s="5">
        <f>2.5</f>
        <v>2.5</v>
      </c>
      <c r="AQ59" s="5">
        <f>0</f>
        <v>0</v>
      </c>
      <c r="AR59" s="5">
        <f t="shared" si="46"/>
        <v>2.5</v>
      </c>
      <c r="AS59" s="6" t="str">
        <f t="shared" si="47"/>
        <v/>
      </c>
      <c r="AT59" s="5">
        <f t="shared" si="48"/>
        <v>8866.6999999999989</v>
      </c>
      <c r="AU59" s="5">
        <f t="shared" si="49"/>
        <v>10000</v>
      </c>
      <c r="AV59" s="5">
        <f t="shared" si="50"/>
        <v>-1133.3000000000011</v>
      </c>
      <c r="AW59" s="6">
        <f t="shared" si="51"/>
        <v>0.88666999999999985</v>
      </c>
    </row>
    <row r="60" spans="1:49" x14ac:dyDescent="0.25">
      <c r="A60" s="3" t="s">
        <v>69</v>
      </c>
      <c r="B60" s="5">
        <f>425.8</f>
        <v>425.8</v>
      </c>
      <c r="C60" s="5">
        <f>2700</f>
        <v>2700</v>
      </c>
      <c r="D60" s="5">
        <f t="shared" si="26"/>
        <v>-2274.1999999999998</v>
      </c>
      <c r="E60" s="6">
        <f t="shared" si="27"/>
        <v>0.15770370370370371</v>
      </c>
      <c r="F60" s="5">
        <f>205</f>
        <v>205</v>
      </c>
      <c r="G60" s="5">
        <f>0</f>
        <v>0</v>
      </c>
      <c r="H60" s="5">
        <f t="shared" si="28"/>
        <v>205</v>
      </c>
      <c r="I60" s="6" t="str">
        <f t="shared" si="29"/>
        <v/>
      </c>
      <c r="J60" s="5">
        <f>592</f>
        <v>592</v>
      </c>
      <c r="K60" s="5">
        <f>0</f>
        <v>0</v>
      </c>
      <c r="L60" s="5">
        <f t="shared" si="30"/>
        <v>592</v>
      </c>
      <c r="M60" s="6" t="str">
        <f t="shared" si="31"/>
        <v/>
      </c>
      <c r="N60" s="5">
        <f>369</f>
        <v>369</v>
      </c>
      <c r="O60" s="5">
        <f>0</f>
        <v>0</v>
      </c>
      <c r="P60" s="5">
        <f t="shared" si="32"/>
        <v>369</v>
      </c>
      <c r="Q60" s="6" t="str">
        <f t="shared" si="33"/>
        <v/>
      </c>
      <c r="R60" s="5">
        <f>362</f>
        <v>362</v>
      </c>
      <c r="S60" s="5">
        <f>0</f>
        <v>0</v>
      </c>
      <c r="T60" s="5">
        <f t="shared" si="34"/>
        <v>362</v>
      </c>
      <c r="U60" s="6" t="str">
        <f t="shared" si="35"/>
        <v/>
      </c>
      <c r="V60" s="5">
        <f>576</f>
        <v>576</v>
      </c>
      <c r="W60" s="5">
        <f>0</f>
        <v>0</v>
      </c>
      <c r="X60" s="5">
        <f t="shared" si="36"/>
        <v>576</v>
      </c>
      <c r="Y60" s="6" t="str">
        <f t="shared" si="37"/>
        <v/>
      </c>
      <c r="Z60" s="5">
        <f>178</f>
        <v>178</v>
      </c>
      <c r="AA60" s="5">
        <f>0</f>
        <v>0</v>
      </c>
      <c r="AB60" s="5">
        <f t="shared" si="38"/>
        <v>178</v>
      </c>
      <c r="AC60" s="6" t="str">
        <f t="shared" si="39"/>
        <v/>
      </c>
      <c r="AD60" s="5">
        <f>373</f>
        <v>373</v>
      </c>
      <c r="AE60" s="5">
        <f>0</f>
        <v>0</v>
      </c>
      <c r="AF60" s="5">
        <f t="shared" si="40"/>
        <v>373</v>
      </c>
      <c r="AG60" s="6" t="str">
        <f t="shared" si="41"/>
        <v/>
      </c>
      <c r="AH60" s="5">
        <f>353</f>
        <v>353</v>
      </c>
      <c r="AI60" s="5">
        <f>0</f>
        <v>0</v>
      </c>
      <c r="AJ60" s="5">
        <f t="shared" si="42"/>
        <v>353</v>
      </c>
      <c r="AK60" s="6" t="str">
        <f t="shared" si="43"/>
        <v/>
      </c>
      <c r="AL60" s="5">
        <f>353</f>
        <v>353</v>
      </c>
      <c r="AM60" s="5">
        <f>0</f>
        <v>0</v>
      </c>
      <c r="AN60" s="5">
        <f t="shared" si="44"/>
        <v>353</v>
      </c>
      <c r="AO60" s="6" t="str">
        <f t="shared" si="45"/>
        <v/>
      </c>
      <c r="AP60" s="5">
        <f>353</f>
        <v>353</v>
      </c>
      <c r="AQ60" s="5">
        <f>0</f>
        <v>0</v>
      </c>
      <c r="AR60" s="5">
        <f t="shared" si="46"/>
        <v>353</v>
      </c>
      <c r="AS60" s="6" t="str">
        <f t="shared" si="47"/>
        <v/>
      </c>
      <c r="AT60" s="5">
        <f t="shared" si="48"/>
        <v>4139.8</v>
      </c>
      <c r="AU60" s="5">
        <f t="shared" si="49"/>
        <v>2700</v>
      </c>
      <c r="AV60" s="5">
        <f t="shared" si="50"/>
        <v>1439.8000000000002</v>
      </c>
      <c r="AW60" s="6">
        <f t="shared" si="51"/>
        <v>1.5332592592592593</v>
      </c>
    </row>
    <row r="61" spans="1:49" x14ac:dyDescent="0.25">
      <c r="A61" s="3" t="s">
        <v>70</v>
      </c>
      <c r="B61" s="7">
        <f>((B58)+(B59))+(B60)</f>
        <v>590.79999999999995</v>
      </c>
      <c r="C61" s="7">
        <f>((C58)+(C59))+(C60)</f>
        <v>12700</v>
      </c>
      <c r="D61" s="7">
        <f t="shared" si="26"/>
        <v>-12109.2</v>
      </c>
      <c r="E61" s="8">
        <f t="shared" si="27"/>
        <v>4.6519685039370075E-2</v>
      </c>
      <c r="F61" s="7">
        <f>((F58)+(F59))+(F60)</f>
        <v>4128.99</v>
      </c>
      <c r="G61" s="7">
        <f>((G58)+(G59))+(G60)</f>
        <v>0</v>
      </c>
      <c r="H61" s="7">
        <f t="shared" si="28"/>
        <v>4128.99</v>
      </c>
      <c r="I61" s="8" t="str">
        <f t="shared" si="29"/>
        <v/>
      </c>
      <c r="J61" s="7">
        <f>((J58)+(J59))+(J60)</f>
        <v>672</v>
      </c>
      <c r="K61" s="7">
        <f>((K58)+(K59))+(K60)</f>
        <v>0</v>
      </c>
      <c r="L61" s="7">
        <f t="shared" si="30"/>
        <v>672</v>
      </c>
      <c r="M61" s="8" t="str">
        <f t="shared" si="31"/>
        <v/>
      </c>
      <c r="N61" s="7">
        <f>((N58)+(N59))+(N60)</f>
        <v>411.59000000000003</v>
      </c>
      <c r="O61" s="7">
        <f>((O58)+(O59))+(O60)</f>
        <v>0</v>
      </c>
      <c r="P61" s="7">
        <f t="shared" si="32"/>
        <v>411.59000000000003</v>
      </c>
      <c r="Q61" s="8" t="str">
        <f t="shared" si="33"/>
        <v/>
      </c>
      <c r="R61" s="7">
        <f>((R58)+(R59))+(R60)</f>
        <v>1509</v>
      </c>
      <c r="S61" s="7">
        <f>((S58)+(S59))+(S60)</f>
        <v>0</v>
      </c>
      <c r="T61" s="7">
        <f t="shared" si="34"/>
        <v>1509</v>
      </c>
      <c r="U61" s="8" t="str">
        <f t="shared" si="35"/>
        <v/>
      </c>
      <c r="V61" s="7">
        <f>((V58)+(V59))+(V60)</f>
        <v>2076</v>
      </c>
      <c r="W61" s="7">
        <f>((W58)+(W59))+(W60)</f>
        <v>0</v>
      </c>
      <c r="X61" s="7">
        <f t="shared" si="36"/>
        <v>2076</v>
      </c>
      <c r="Y61" s="8" t="str">
        <f t="shared" si="37"/>
        <v/>
      </c>
      <c r="Z61" s="7">
        <f>((Z58)+(Z59))+(Z60)</f>
        <v>1232.5899999999999</v>
      </c>
      <c r="AA61" s="7">
        <f>((AA58)+(AA59))+(AA60)</f>
        <v>0</v>
      </c>
      <c r="AB61" s="7">
        <f t="shared" si="38"/>
        <v>1232.5899999999999</v>
      </c>
      <c r="AC61" s="8" t="str">
        <f t="shared" si="39"/>
        <v/>
      </c>
      <c r="AD61" s="7">
        <f>((AD58)+(AD59))+(AD60)</f>
        <v>596.4</v>
      </c>
      <c r="AE61" s="7">
        <f>((AE58)+(AE59))+(AE60)</f>
        <v>0</v>
      </c>
      <c r="AF61" s="7">
        <f t="shared" si="40"/>
        <v>596.4</v>
      </c>
      <c r="AG61" s="8" t="str">
        <f t="shared" si="41"/>
        <v/>
      </c>
      <c r="AH61" s="7">
        <f>((AH58)+(AH59))+(AH60)</f>
        <v>1093.1300000000001</v>
      </c>
      <c r="AI61" s="7">
        <f>((AI58)+(AI59))+(AI60)</f>
        <v>0</v>
      </c>
      <c r="AJ61" s="7">
        <f t="shared" si="42"/>
        <v>1093.1300000000001</v>
      </c>
      <c r="AK61" s="8" t="str">
        <f t="shared" si="43"/>
        <v/>
      </c>
      <c r="AL61" s="7">
        <f>((AL58)+(AL59))+(AL60)</f>
        <v>355.5</v>
      </c>
      <c r="AM61" s="7">
        <f>((AM58)+(AM59))+(AM60)</f>
        <v>0</v>
      </c>
      <c r="AN61" s="7">
        <f t="shared" si="44"/>
        <v>355.5</v>
      </c>
      <c r="AO61" s="8" t="str">
        <f t="shared" si="45"/>
        <v/>
      </c>
      <c r="AP61" s="7">
        <f>((AP58)+(AP59))+(AP60)</f>
        <v>355.5</v>
      </c>
      <c r="AQ61" s="7">
        <f>((AQ58)+(AQ59))+(AQ60)</f>
        <v>0</v>
      </c>
      <c r="AR61" s="7">
        <f t="shared" si="46"/>
        <v>355.5</v>
      </c>
      <c r="AS61" s="8" t="str">
        <f t="shared" si="47"/>
        <v/>
      </c>
      <c r="AT61" s="7">
        <f t="shared" si="48"/>
        <v>13021.5</v>
      </c>
      <c r="AU61" s="7">
        <f t="shared" si="49"/>
        <v>12700</v>
      </c>
      <c r="AV61" s="7">
        <f t="shared" si="50"/>
        <v>321.5</v>
      </c>
      <c r="AW61" s="8">
        <f t="shared" si="51"/>
        <v>1.0253149606299212</v>
      </c>
    </row>
    <row r="62" spans="1:49" x14ac:dyDescent="0.25">
      <c r="A62" s="3" t="s">
        <v>71</v>
      </c>
      <c r="B62" s="4"/>
      <c r="C62" s="5">
        <f>2600</f>
        <v>2600</v>
      </c>
      <c r="D62" s="5">
        <f t="shared" si="26"/>
        <v>-2600</v>
      </c>
      <c r="E62" s="6">
        <f t="shared" si="27"/>
        <v>0</v>
      </c>
      <c r="F62" s="4"/>
      <c r="G62" s="5">
        <f>0</f>
        <v>0</v>
      </c>
      <c r="H62" s="5">
        <f t="shared" si="28"/>
        <v>0</v>
      </c>
      <c r="I62" s="6" t="str">
        <f t="shared" si="29"/>
        <v/>
      </c>
      <c r="J62" s="4"/>
      <c r="K62" s="5">
        <f>0</f>
        <v>0</v>
      </c>
      <c r="L62" s="5">
        <f t="shared" si="30"/>
        <v>0</v>
      </c>
      <c r="M62" s="6" t="str">
        <f t="shared" si="31"/>
        <v/>
      </c>
      <c r="N62" s="4"/>
      <c r="O62" s="5">
        <f>0</f>
        <v>0</v>
      </c>
      <c r="P62" s="5">
        <f t="shared" si="32"/>
        <v>0</v>
      </c>
      <c r="Q62" s="6" t="str">
        <f t="shared" si="33"/>
        <v/>
      </c>
      <c r="R62" s="4"/>
      <c r="S62" s="5">
        <f>0</f>
        <v>0</v>
      </c>
      <c r="T62" s="5">
        <f t="shared" si="34"/>
        <v>0</v>
      </c>
      <c r="U62" s="6" t="str">
        <f t="shared" si="35"/>
        <v/>
      </c>
      <c r="V62" s="4"/>
      <c r="W62" s="5">
        <f>0</f>
        <v>0</v>
      </c>
      <c r="X62" s="5">
        <f t="shared" si="36"/>
        <v>0</v>
      </c>
      <c r="Y62" s="6" t="str">
        <f t="shared" si="37"/>
        <v/>
      </c>
      <c r="Z62" s="4"/>
      <c r="AA62" s="5">
        <f>0</f>
        <v>0</v>
      </c>
      <c r="AB62" s="5">
        <f t="shared" si="38"/>
        <v>0</v>
      </c>
      <c r="AC62" s="6" t="str">
        <f t="shared" si="39"/>
        <v/>
      </c>
      <c r="AD62" s="4"/>
      <c r="AE62" s="5">
        <f>0</f>
        <v>0</v>
      </c>
      <c r="AF62" s="5">
        <f t="shared" si="40"/>
        <v>0</v>
      </c>
      <c r="AG62" s="6" t="str">
        <f t="shared" si="41"/>
        <v/>
      </c>
      <c r="AH62" s="4"/>
      <c r="AI62" s="5">
        <f>0</f>
        <v>0</v>
      </c>
      <c r="AJ62" s="5">
        <f t="shared" si="42"/>
        <v>0</v>
      </c>
      <c r="AK62" s="6" t="str">
        <f t="shared" si="43"/>
        <v/>
      </c>
      <c r="AL62" s="4"/>
      <c r="AM62" s="5">
        <f>0</f>
        <v>0</v>
      </c>
      <c r="AN62" s="5">
        <f t="shared" si="44"/>
        <v>0</v>
      </c>
      <c r="AO62" s="6" t="str">
        <f t="shared" si="45"/>
        <v/>
      </c>
      <c r="AP62" s="4"/>
      <c r="AQ62" s="5">
        <f>0</f>
        <v>0</v>
      </c>
      <c r="AR62" s="5">
        <f t="shared" si="46"/>
        <v>0</v>
      </c>
      <c r="AS62" s="6" t="str">
        <f t="shared" si="47"/>
        <v/>
      </c>
      <c r="AT62" s="5">
        <f t="shared" si="48"/>
        <v>0</v>
      </c>
      <c r="AU62" s="5">
        <f t="shared" si="49"/>
        <v>2600</v>
      </c>
      <c r="AV62" s="5">
        <f t="shared" si="50"/>
        <v>-2600</v>
      </c>
      <c r="AW62" s="6">
        <f t="shared" si="51"/>
        <v>0</v>
      </c>
    </row>
    <row r="63" spans="1:49" x14ac:dyDescent="0.25">
      <c r="A63" s="3" t="s">
        <v>72</v>
      </c>
      <c r="B63" s="5">
        <f>236.23</f>
        <v>236.23</v>
      </c>
      <c r="C63" s="4"/>
      <c r="D63" s="5">
        <f t="shared" si="26"/>
        <v>236.23</v>
      </c>
      <c r="E63" s="6" t="str">
        <f t="shared" si="27"/>
        <v/>
      </c>
      <c r="F63" s="5">
        <f>233.76</f>
        <v>233.76</v>
      </c>
      <c r="G63" s="4"/>
      <c r="H63" s="5">
        <f t="shared" si="28"/>
        <v>233.76</v>
      </c>
      <c r="I63" s="6" t="str">
        <f t="shared" si="29"/>
        <v/>
      </c>
      <c r="J63" s="5">
        <f>230.95</f>
        <v>230.95</v>
      </c>
      <c r="K63" s="4"/>
      <c r="L63" s="5">
        <f t="shared" si="30"/>
        <v>230.95</v>
      </c>
      <c r="M63" s="6" t="str">
        <f t="shared" si="31"/>
        <v/>
      </c>
      <c r="N63" s="5">
        <f>265.87</f>
        <v>265.87</v>
      </c>
      <c r="O63" s="4"/>
      <c r="P63" s="5">
        <f t="shared" si="32"/>
        <v>265.87</v>
      </c>
      <c r="Q63" s="6" t="str">
        <f t="shared" si="33"/>
        <v/>
      </c>
      <c r="R63" s="5">
        <f>199.37</f>
        <v>199.37</v>
      </c>
      <c r="S63" s="4"/>
      <c r="T63" s="5">
        <f t="shared" si="34"/>
        <v>199.37</v>
      </c>
      <c r="U63" s="6" t="str">
        <f t="shared" si="35"/>
        <v/>
      </c>
      <c r="V63" s="5">
        <f>470.7</f>
        <v>470.7</v>
      </c>
      <c r="W63" s="4"/>
      <c r="X63" s="5">
        <f t="shared" si="36"/>
        <v>470.7</v>
      </c>
      <c r="Y63" s="6" t="str">
        <f t="shared" si="37"/>
        <v/>
      </c>
      <c r="Z63" s="4"/>
      <c r="AA63" s="4"/>
      <c r="AB63" s="5">
        <f t="shared" si="38"/>
        <v>0</v>
      </c>
      <c r="AC63" s="6" t="str">
        <f t="shared" si="39"/>
        <v/>
      </c>
      <c r="AD63" s="5">
        <f>226.99</f>
        <v>226.99</v>
      </c>
      <c r="AE63" s="4"/>
      <c r="AF63" s="5">
        <f t="shared" si="40"/>
        <v>226.99</v>
      </c>
      <c r="AG63" s="6" t="str">
        <f t="shared" si="41"/>
        <v/>
      </c>
      <c r="AH63" s="5">
        <f>242.71</f>
        <v>242.71</v>
      </c>
      <c r="AI63" s="4"/>
      <c r="AJ63" s="5">
        <f t="shared" si="42"/>
        <v>242.71</v>
      </c>
      <c r="AK63" s="6" t="str">
        <f t="shared" si="43"/>
        <v/>
      </c>
      <c r="AL63" s="5">
        <f>241.03</f>
        <v>241.03</v>
      </c>
      <c r="AM63" s="4"/>
      <c r="AN63" s="5">
        <f t="shared" si="44"/>
        <v>241.03</v>
      </c>
      <c r="AO63" s="6" t="str">
        <f t="shared" si="45"/>
        <v/>
      </c>
      <c r="AP63" s="5">
        <f>637.46</f>
        <v>637.46</v>
      </c>
      <c r="AQ63" s="4"/>
      <c r="AR63" s="5">
        <f t="shared" si="46"/>
        <v>637.46</v>
      </c>
      <c r="AS63" s="6" t="str">
        <f t="shared" si="47"/>
        <v/>
      </c>
      <c r="AT63" s="5">
        <f t="shared" si="48"/>
        <v>2985.07</v>
      </c>
      <c r="AU63" s="5">
        <f t="shared" si="49"/>
        <v>0</v>
      </c>
      <c r="AV63" s="5">
        <f t="shared" si="50"/>
        <v>2985.07</v>
      </c>
      <c r="AW63" s="6" t="str">
        <f t="shared" si="51"/>
        <v/>
      </c>
    </row>
    <row r="64" spans="1:49" x14ac:dyDescent="0.25">
      <c r="A64" s="3" t="s">
        <v>73</v>
      </c>
      <c r="B64" s="7">
        <f>(B62)+(B63)</f>
        <v>236.23</v>
      </c>
      <c r="C64" s="7">
        <f>(C62)+(C63)</f>
        <v>2600</v>
      </c>
      <c r="D64" s="7">
        <f t="shared" si="26"/>
        <v>-2363.77</v>
      </c>
      <c r="E64" s="8">
        <f t="shared" si="27"/>
        <v>9.0857692307692306E-2</v>
      </c>
      <c r="F64" s="7">
        <f>(F62)+(F63)</f>
        <v>233.76</v>
      </c>
      <c r="G64" s="7">
        <f>(G62)+(G63)</f>
        <v>0</v>
      </c>
      <c r="H64" s="7">
        <f t="shared" si="28"/>
        <v>233.76</v>
      </c>
      <c r="I64" s="8" t="str">
        <f t="shared" si="29"/>
        <v/>
      </c>
      <c r="J64" s="7">
        <f>(J62)+(J63)</f>
        <v>230.95</v>
      </c>
      <c r="K64" s="7">
        <f>(K62)+(K63)</f>
        <v>0</v>
      </c>
      <c r="L64" s="7">
        <f t="shared" si="30"/>
        <v>230.95</v>
      </c>
      <c r="M64" s="8" t="str">
        <f t="shared" si="31"/>
        <v/>
      </c>
      <c r="N64" s="7">
        <f>(N62)+(N63)</f>
        <v>265.87</v>
      </c>
      <c r="O64" s="7">
        <f>(O62)+(O63)</f>
        <v>0</v>
      </c>
      <c r="P64" s="7">
        <f t="shared" si="32"/>
        <v>265.87</v>
      </c>
      <c r="Q64" s="8" t="str">
        <f t="shared" si="33"/>
        <v/>
      </c>
      <c r="R64" s="7">
        <f>(R62)+(R63)</f>
        <v>199.37</v>
      </c>
      <c r="S64" s="7">
        <f>(S62)+(S63)</f>
        <v>0</v>
      </c>
      <c r="T64" s="7">
        <f t="shared" si="34"/>
        <v>199.37</v>
      </c>
      <c r="U64" s="8" t="str">
        <f t="shared" si="35"/>
        <v/>
      </c>
      <c r="V64" s="7">
        <f>(V62)+(V63)</f>
        <v>470.7</v>
      </c>
      <c r="W64" s="7">
        <f>(W62)+(W63)</f>
        <v>0</v>
      </c>
      <c r="X64" s="7">
        <f t="shared" si="36"/>
        <v>470.7</v>
      </c>
      <c r="Y64" s="8" t="str">
        <f t="shared" si="37"/>
        <v/>
      </c>
      <c r="Z64" s="7">
        <f>(Z62)+(Z63)</f>
        <v>0</v>
      </c>
      <c r="AA64" s="7">
        <f>(AA62)+(AA63)</f>
        <v>0</v>
      </c>
      <c r="AB64" s="7">
        <f t="shared" si="38"/>
        <v>0</v>
      </c>
      <c r="AC64" s="8" t="str">
        <f t="shared" si="39"/>
        <v/>
      </c>
      <c r="AD64" s="7">
        <f>(AD62)+(AD63)</f>
        <v>226.99</v>
      </c>
      <c r="AE64" s="7">
        <f>(AE62)+(AE63)</f>
        <v>0</v>
      </c>
      <c r="AF64" s="7">
        <f t="shared" si="40"/>
        <v>226.99</v>
      </c>
      <c r="AG64" s="8" t="str">
        <f t="shared" si="41"/>
        <v/>
      </c>
      <c r="AH64" s="7">
        <f>(AH62)+(AH63)</f>
        <v>242.71</v>
      </c>
      <c r="AI64" s="7">
        <f>(AI62)+(AI63)</f>
        <v>0</v>
      </c>
      <c r="AJ64" s="7">
        <f t="shared" si="42"/>
        <v>242.71</v>
      </c>
      <c r="AK64" s="8" t="str">
        <f t="shared" si="43"/>
        <v/>
      </c>
      <c r="AL64" s="7">
        <f>(AL62)+(AL63)</f>
        <v>241.03</v>
      </c>
      <c r="AM64" s="7">
        <f>(AM62)+(AM63)</f>
        <v>0</v>
      </c>
      <c r="AN64" s="7">
        <f t="shared" si="44"/>
        <v>241.03</v>
      </c>
      <c r="AO64" s="8" t="str">
        <f t="shared" si="45"/>
        <v/>
      </c>
      <c r="AP64" s="7">
        <f>(AP62)+(AP63)</f>
        <v>637.46</v>
      </c>
      <c r="AQ64" s="7">
        <f>(AQ62)+(AQ63)</f>
        <v>0</v>
      </c>
      <c r="AR64" s="7">
        <f t="shared" si="46"/>
        <v>637.46</v>
      </c>
      <c r="AS64" s="8" t="str">
        <f t="shared" si="47"/>
        <v/>
      </c>
      <c r="AT64" s="7">
        <f t="shared" si="48"/>
        <v>2985.07</v>
      </c>
      <c r="AU64" s="7">
        <f t="shared" si="49"/>
        <v>2600</v>
      </c>
      <c r="AV64" s="7">
        <f t="shared" si="50"/>
        <v>385.07000000000016</v>
      </c>
      <c r="AW64" s="8">
        <f t="shared" si="51"/>
        <v>1.1481038461538462</v>
      </c>
    </row>
    <row r="65" spans="1:49" x14ac:dyDescent="0.25">
      <c r="A65" s="3" t="s">
        <v>74</v>
      </c>
      <c r="B65" s="5">
        <f>4159</f>
        <v>4159</v>
      </c>
      <c r="C65" s="5">
        <f>10000</f>
        <v>10000</v>
      </c>
      <c r="D65" s="5">
        <f t="shared" si="26"/>
        <v>-5841</v>
      </c>
      <c r="E65" s="6">
        <f t="shared" si="27"/>
        <v>0.41589999999999999</v>
      </c>
      <c r="F65" s="4"/>
      <c r="G65" s="5">
        <f>0</f>
        <v>0</v>
      </c>
      <c r="H65" s="5">
        <f t="shared" si="28"/>
        <v>0</v>
      </c>
      <c r="I65" s="6" t="str">
        <f t="shared" si="29"/>
        <v/>
      </c>
      <c r="J65" s="4"/>
      <c r="K65" s="5">
        <f>0</f>
        <v>0</v>
      </c>
      <c r="L65" s="5">
        <f t="shared" si="30"/>
        <v>0</v>
      </c>
      <c r="M65" s="6" t="str">
        <f t="shared" si="31"/>
        <v/>
      </c>
      <c r="N65" s="4"/>
      <c r="O65" s="5">
        <f>0</f>
        <v>0</v>
      </c>
      <c r="P65" s="5">
        <f t="shared" si="32"/>
        <v>0</v>
      </c>
      <c r="Q65" s="6" t="str">
        <f t="shared" si="33"/>
        <v/>
      </c>
      <c r="R65" s="4"/>
      <c r="S65" s="5">
        <f>0</f>
        <v>0</v>
      </c>
      <c r="T65" s="5">
        <f t="shared" si="34"/>
        <v>0</v>
      </c>
      <c r="U65" s="6" t="str">
        <f t="shared" si="35"/>
        <v/>
      </c>
      <c r="V65" s="4"/>
      <c r="W65" s="5">
        <f>0</f>
        <v>0</v>
      </c>
      <c r="X65" s="5">
        <f t="shared" si="36"/>
        <v>0</v>
      </c>
      <c r="Y65" s="6" t="str">
        <f t="shared" si="37"/>
        <v/>
      </c>
      <c r="Z65" s="4"/>
      <c r="AA65" s="5">
        <f>0</f>
        <v>0</v>
      </c>
      <c r="AB65" s="5">
        <f t="shared" si="38"/>
        <v>0</v>
      </c>
      <c r="AC65" s="6" t="str">
        <f t="shared" si="39"/>
        <v/>
      </c>
      <c r="AD65" s="4"/>
      <c r="AE65" s="5">
        <f>0</f>
        <v>0</v>
      </c>
      <c r="AF65" s="5">
        <f t="shared" si="40"/>
        <v>0</v>
      </c>
      <c r="AG65" s="6" t="str">
        <f t="shared" si="41"/>
        <v/>
      </c>
      <c r="AH65" s="4"/>
      <c r="AI65" s="5">
        <f>0</f>
        <v>0</v>
      </c>
      <c r="AJ65" s="5">
        <f t="shared" si="42"/>
        <v>0</v>
      </c>
      <c r="AK65" s="6" t="str">
        <f t="shared" si="43"/>
        <v/>
      </c>
      <c r="AL65" s="4"/>
      <c r="AM65" s="5">
        <f>0</f>
        <v>0</v>
      </c>
      <c r="AN65" s="5">
        <f t="shared" si="44"/>
        <v>0</v>
      </c>
      <c r="AO65" s="6" t="str">
        <f t="shared" si="45"/>
        <v/>
      </c>
      <c r="AP65" s="4"/>
      <c r="AQ65" s="5">
        <f>0</f>
        <v>0</v>
      </c>
      <c r="AR65" s="5">
        <f t="shared" si="46"/>
        <v>0</v>
      </c>
      <c r="AS65" s="6" t="str">
        <f t="shared" si="47"/>
        <v/>
      </c>
      <c r="AT65" s="5">
        <f t="shared" si="48"/>
        <v>4159</v>
      </c>
      <c r="AU65" s="5">
        <f t="shared" si="49"/>
        <v>10000</v>
      </c>
      <c r="AV65" s="5">
        <f t="shared" si="50"/>
        <v>-5841</v>
      </c>
      <c r="AW65" s="6">
        <f t="shared" si="51"/>
        <v>0.41589999999999999</v>
      </c>
    </row>
    <row r="66" spans="1:49" x14ac:dyDescent="0.25">
      <c r="A66" s="3" t="s">
        <v>75</v>
      </c>
      <c r="B66" s="4"/>
      <c r="C66" s="4"/>
      <c r="D66" s="5">
        <f t="shared" si="26"/>
        <v>0</v>
      </c>
      <c r="E66" s="6" t="str">
        <f t="shared" si="27"/>
        <v/>
      </c>
      <c r="F66" s="4"/>
      <c r="G66" s="4"/>
      <c r="H66" s="5">
        <f t="shared" si="28"/>
        <v>0</v>
      </c>
      <c r="I66" s="6" t="str">
        <f t="shared" si="29"/>
        <v/>
      </c>
      <c r="J66" s="4"/>
      <c r="K66" s="4"/>
      <c r="L66" s="5">
        <f t="shared" si="30"/>
        <v>0</v>
      </c>
      <c r="M66" s="6" t="str">
        <f t="shared" si="31"/>
        <v/>
      </c>
      <c r="N66" s="4"/>
      <c r="O66" s="4"/>
      <c r="P66" s="5">
        <f t="shared" si="32"/>
        <v>0</v>
      </c>
      <c r="Q66" s="6" t="str">
        <f t="shared" si="33"/>
        <v/>
      </c>
      <c r="R66" s="4"/>
      <c r="S66" s="4"/>
      <c r="T66" s="5">
        <f t="shared" si="34"/>
        <v>0</v>
      </c>
      <c r="U66" s="6" t="str">
        <f t="shared" si="35"/>
        <v/>
      </c>
      <c r="V66" s="4"/>
      <c r="W66" s="4"/>
      <c r="X66" s="5">
        <f t="shared" si="36"/>
        <v>0</v>
      </c>
      <c r="Y66" s="6" t="str">
        <f t="shared" si="37"/>
        <v/>
      </c>
      <c r="Z66" s="4"/>
      <c r="AA66" s="4"/>
      <c r="AB66" s="5">
        <f t="shared" si="38"/>
        <v>0</v>
      </c>
      <c r="AC66" s="6" t="str">
        <f t="shared" si="39"/>
        <v/>
      </c>
      <c r="AD66" s="4"/>
      <c r="AE66" s="4"/>
      <c r="AF66" s="5">
        <f t="shared" si="40"/>
        <v>0</v>
      </c>
      <c r="AG66" s="6" t="str">
        <f t="shared" si="41"/>
        <v/>
      </c>
      <c r="AH66" s="4"/>
      <c r="AI66" s="4"/>
      <c r="AJ66" s="5">
        <f t="shared" si="42"/>
        <v>0</v>
      </c>
      <c r="AK66" s="6" t="str">
        <f t="shared" si="43"/>
        <v/>
      </c>
      <c r="AL66" s="4"/>
      <c r="AM66" s="4"/>
      <c r="AN66" s="5">
        <f t="shared" si="44"/>
        <v>0</v>
      </c>
      <c r="AO66" s="6" t="str">
        <f t="shared" si="45"/>
        <v/>
      </c>
      <c r="AP66" s="4"/>
      <c r="AQ66" s="4"/>
      <c r="AR66" s="5">
        <f t="shared" si="46"/>
        <v>0</v>
      </c>
      <c r="AS66" s="6" t="str">
        <f t="shared" si="47"/>
        <v/>
      </c>
      <c r="AT66" s="5">
        <f t="shared" si="48"/>
        <v>0</v>
      </c>
      <c r="AU66" s="5">
        <f t="shared" si="49"/>
        <v>0</v>
      </c>
      <c r="AV66" s="5">
        <f t="shared" si="50"/>
        <v>0</v>
      </c>
      <c r="AW66" s="6" t="str">
        <f t="shared" si="51"/>
        <v/>
      </c>
    </row>
    <row r="67" spans="1:49" x14ac:dyDescent="0.25">
      <c r="A67" s="3" t="s">
        <v>76</v>
      </c>
      <c r="B67" s="5">
        <f>14046</f>
        <v>14046</v>
      </c>
      <c r="C67" s="5">
        <f>14050</f>
        <v>14050</v>
      </c>
      <c r="D67" s="5">
        <f t="shared" si="26"/>
        <v>-4</v>
      </c>
      <c r="E67" s="6">
        <f t="shared" si="27"/>
        <v>0.99971530249110319</v>
      </c>
      <c r="F67" s="5">
        <f>-179</f>
        <v>-179</v>
      </c>
      <c r="G67" s="5">
        <f>0</f>
        <v>0</v>
      </c>
      <c r="H67" s="5">
        <f t="shared" si="28"/>
        <v>-179</v>
      </c>
      <c r="I67" s="6" t="str">
        <f t="shared" si="29"/>
        <v/>
      </c>
      <c r="J67" s="4"/>
      <c r="K67" s="5">
        <f>0</f>
        <v>0</v>
      </c>
      <c r="L67" s="5">
        <f t="shared" si="30"/>
        <v>0</v>
      </c>
      <c r="M67" s="6" t="str">
        <f t="shared" si="31"/>
        <v/>
      </c>
      <c r="N67" s="4"/>
      <c r="O67" s="5">
        <f>0</f>
        <v>0</v>
      </c>
      <c r="P67" s="5">
        <f t="shared" si="32"/>
        <v>0</v>
      </c>
      <c r="Q67" s="6" t="str">
        <f t="shared" si="33"/>
        <v/>
      </c>
      <c r="R67" s="4"/>
      <c r="S67" s="5">
        <f>0</f>
        <v>0</v>
      </c>
      <c r="T67" s="5">
        <f t="shared" si="34"/>
        <v>0</v>
      </c>
      <c r="U67" s="6" t="str">
        <f t="shared" si="35"/>
        <v/>
      </c>
      <c r="V67" s="4"/>
      <c r="W67" s="5">
        <f>0</f>
        <v>0</v>
      </c>
      <c r="X67" s="5">
        <f t="shared" si="36"/>
        <v>0</v>
      </c>
      <c r="Y67" s="6" t="str">
        <f t="shared" si="37"/>
        <v/>
      </c>
      <c r="Z67" s="4"/>
      <c r="AA67" s="5">
        <f>0</f>
        <v>0</v>
      </c>
      <c r="AB67" s="5">
        <f t="shared" si="38"/>
        <v>0</v>
      </c>
      <c r="AC67" s="6" t="str">
        <f t="shared" si="39"/>
        <v/>
      </c>
      <c r="AD67" s="4"/>
      <c r="AE67" s="5">
        <f>0</f>
        <v>0</v>
      </c>
      <c r="AF67" s="5">
        <f t="shared" si="40"/>
        <v>0</v>
      </c>
      <c r="AG67" s="6" t="str">
        <f t="shared" si="41"/>
        <v/>
      </c>
      <c r="AH67" s="4"/>
      <c r="AI67" s="5">
        <f>0</f>
        <v>0</v>
      </c>
      <c r="AJ67" s="5">
        <f t="shared" si="42"/>
        <v>0</v>
      </c>
      <c r="AK67" s="6" t="str">
        <f t="shared" si="43"/>
        <v/>
      </c>
      <c r="AL67" s="5">
        <f>14344</f>
        <v>14344</v>
      </c>
      <c r="AM67" s="5">
        <f>0</f>
        <v>0</v>
      </c>
      <c r="AN67" s="5">
        <f t="shared" si="44"/>
        <v>14344</v>
      </c>
      <c r="AO67" s="6" t="str">
        <f t="shared" si="45"/>
        <v/>
      </c>
      <c r="AP67" s="4"/>
      <c r="AQ67" s="5">
        <f>0</f>
        <v>0</v>
      </c>
      <c r="AR67" s="5">
        <f t="shared" si="46"/>
        <v>0</v>
      </c>
      <c r="AS67" s="6" t="str">
        <f t="shared" si="47"/>
        <v/>
      </c>
      <c r="AT67" s="5">
        <f t="shared" si="48"/>
        <v>28211</v>
      </c>
      <c r="AU67" s="5">
        <f t="shared" si="49"/>
        <v>14050</v>
      </c>
      <c r="AV67" s="5">
        <f t="shared" si="50"/>
        <v>14161</v>
      </c>
      <c r="AW67" s="6">
        <f t="shared" si="51"/>
        <v>2.007900355871886</v>
      </c>
    </row>
    <row r="68" spans="1:49" x14ac:dyDescent="0.25">
      <c r="A68" s="3" t="s">
        <v>77</v>
      </c>
      <c r="B68" s="7">
        <f>(B66)+(B67)</f>
        <v>14046</v>
      </c>
      <c r="C68" s="7">
        <f>(C66)+(C67)</f>
        <v>14050</v>
      </c>
      <c r="D68" s="7">
        <f t="shared" si="26"/>
        <v>-4</v>
      </c>
      <c r="E68" s="8">
        <f t="shared" si="27"/>
        <v>0.99971530249110319</v>
      </c>
      <c r="F68" s="7">
        <f>(F66)+(F67)</f>
        <v>-179</v>
      </c>
      <c r="G68" s="7">
        <f>(G66)+(G67)</f>
        <v>0</v>
      </c>
      <c r="H68" s="7">
        <f t="shared" si="28"/>
        <v>-179</v>
      </c>
      <c r="I68" s="8" t="str">
        <f t="shared" si="29"/>
        <v/>
      </c>
      <c r="J68" s="7">
        <f>(J66)+(J67)</f>
        <v>0</v>
      </c>
      <c r="K68" s="7">
        <f>(K66)+(K67)</f>
        <v>0</v>
      </c>
      <c r="L68" s="7">
        <f t="shared" si="30"/>
        <v>0</v>
      </c>
      <c r="M68" s="8" t="str">
        <f t="shared" si="31"/>
        <v/>
      </c>
      <c r="N68" s="7">
        <f>(N66)+(N67)</f>
        <v>0</v>
      </c>
      <c r="O68" s="7">
        <f>(O66)+(O67)</f>
        <v>0</v>
      </c>
      <c r="P68" s="7">
        <f t="shared" si="32"/>
        <v>0</v>
      </c>
      <c r="Q68" s="8" t="str">
        <f t="shared" si="33"/>
        <v/>
      </c>
      <c r="R68" s="7">
        <f>(R66)+(R67)</f>
        <v>0</v>
      </c>
      <c r="S68" s="7">
        <f>(S66)+(S67)</f>
        <v>0</v>
      </c>
      <c r="T68" s="7">
        <f t="shared" si="34"/>
        <v>0</v>
      </c>
      <c r="U68" s="8" t="str">
        <f t="shared" si="35"/>
        <v/>
      </c>
      <c r="V68" s="7">
        <f>(V66)+(V67)</f>
        <v>0</v>
      </c>
      <c r="W68" s="7">
        <f>(W66)+(W67)</f>
        <v>0</v>
      </c>
      <c r="X68" s="7">
        <f t="shared" si="36"/>
        <v>0</v>
      </c>
      <c r="Y68" s="8" t="str">
        <f t="shared" si="37"/>
        <v/>
      </c>
      <c r="Z68" s="7">
        <f>(Z66)+(Z67)</f>
        <v>0</v>
      </c>
      <c r="AA68" s="7">
        <f>(AA66)+(AA67)</f>
        <v>0</v>
      </c>
      <c r="AB68" s="7">
        <f t="shared" si="38"/>
        <v>0</v>
      </c>
      <c r="AC68" s="8" t="str">
        <f t="shared" si="39"/>
        <v/>
      </c>
      <c r="AD68" s="7">
        <f>(AD66)+(AD67)</f>
        <v>0</v>
      </c>
      <c r="AE68" s="7">
        <f>(AE66)+(AE67)</f>
        <v>0</v>
      </c>
      <c r="AF68" s="7">
        <f t="shared" si="40"/>
        <v>0</v>
      </c>
      <c r="AG68" s="8" t="str">
        <f t="shared" si="41"/>
        <v/>
      </c>
      <c r="AH68" s="7">
        <f>(AH66)+(AH67)</f>
        <v>0</v>
      </c>
      <c r="AI68" s="7">
        <f>(AI66)+(AI67)</f>
        <v>0</v>
      </c>
      <c r="AJ68" s="7">
        <f t="shared" si="42"/>
        <v>0</v>
      </c>
      <c r="AK68" s="8" t="str">
        <f t="shared" si="43"/>
        <v/>
      </c>
      <c r="AL68" s="7">
        <f>(AL66)+(AL67)</f>
        <v>14344</v>
      </c>
      <c r="AM68" s="7">
        <f>(AM66)+(AM67)</f>
        <v>0</v>
      </c>
      <c r="AN68" s="7">
        <f t="shared" si="44"/>
        <v>14344</v>
      </c>
      <c r="AO68" s="8" t="str">
        <f t="shared" si="45"/>
        <v/>
      </c>
      <c r="AP68" s="7">
        <f>(AP66)+(AP67)</f>
        <v>0</v>
      </c>
      <c r="AQ68" s="7">
        <f>(AQ66)+(AQ67)</f>
        <v>0</v>
      </c>
      <c r="AR68" s="7">
        <f t="shared" si="46"/>
        <v>0</v>
      </c>
      <c r="AS68" s="8" t="str">
        <f t="shared" si="47"/>
        <v/>
      </c>
      <c r="AT68" s="7">
        <f t="shared" si="48"/>
        <v>28211</v>
      </c>
      <c r="AU68" s="7">
        <f t="shared" si="49"/>
        <v>14050</v>
      </c>
      <c r="AV68" s="7">
        <f t="shared" si="50"/>
        <v>14161</v>
      </c>
      <c r="AW68" s="8">
        <f t="shared" si="51"/>
        <v>2.007900355871886</v>
      </c>
    </row>
    <row r="69" spans="1:49" x14ac:dyDescent="0.25">
      <c r="A69" s="3" t="s">
        <v>78</v>
      </c>
      <c r="B69" s="4"/>
      <c r="C69" s="4"/>
      <c r="D69" s="5">
        <f t="shared" si="26"/>
        <v>0</v>
      </c>
      <c r="E69" s="6" t="str">
        <f t="shared" si="27"/>
        <v/>
      </c>
      <c r="F69" s="4"/>
      <c r="G69" s="4"/>
      <c r="H69" s="5">
        <f t="shared" si="28"/>
        <v>0</v>
      </c>
      <c r="I69" s="6" t="str">
        <f t="shared" si="29"/>
        <v/>
      </c>
      <c r="J69" s="4"/>
      <c r="K69" s="4"/>
      <c r="L69" s="5">
        <f t="shared" si="30"/>
        <v>0</v>
      </c>
      <c r="M69" s="6" t="str">
        <f t="shared" si="31"/>
        <v/>
      </c>
      <c r="N69" s="4"/>
      <c r="O69" s="4"/>
      <c r="P69" s="5">
        <f t="shared" si="32"/>
        <v>0</v>
      </c>
      <c r="Q69" s="6" t="str">
        <f t="shared" si="33"/>
        <v/>
      </c>
      <c r="R69" s="4"/>
      <c r="S69" s="4"/>
      <c r="T69" s="5">
        <f t="shared" si="34"/>
        <v>0</v>
      </c>
      <c r="U69" s="6" t="str">
        <f t="shared" si="35"/>
        <v/>
      </c>
      <c r="V69" s="4"/>
      <c r="W69" s="4"/>
      <c r="X69" s="5">
        <f t="shared" si="36"/>
        <v>0</v>
      </c>
      <c r="Y69" s="6" t="str">
        <f t="shared" si="37"/>
        <v/>
      </c>
      <c r="Z69" s="4"/>
      <c r="AA69" s="4"/>
      <c r="AB69" s="5">
        <f t="shared" si="38"/>
        <v>0</v>
      </c>
      <c r="AC69" s="6" t="str">
        <f t="shared" si="39"/>
        <v/>
      </c>
      <c r="AD69" s="4"/>
      <c r="AE69" s="4"/>
      <c r="AF69" s="5">
        <f t="shared" si="40"/>
        <v>0</v>
      </c>
      <c r="AG69" s="6" t="str">
        <f t="shared" si="41"/>
        <v/>
      </c>
      <c r="AH69" s="4"/>
      <c r="AI69" s="4"/>
      <c r="AJ69" s="5">
        <f t="shared" si="42"/>
        <v>0</v>
      </c>
      <c r="AK69" s="6" t="str">
        <f t="shared" si="43"/>
        <v/>
      </c>
      <c r="AL69" s="4"/>
      <c r="AM69" s="4"/>
      <c r="AN69" s="5">
        <f t="shared" si="44"/>
        <v>0</v>
      </c>
      <c r="AO69" s="6" t="str">
        <f t="shared" si="45"/>
        <v/>
      </c>
      <c r="AP69" s="4"/>
      <c r="AQ69" s="4"/>
      <c r="AR69" s="5">
        <f t="shared" si="46"/>
        <v>0</v>
      </c>
      <c r="AS69" s="6" t="str">
        <f t="shared" si="47"/>
        <v/>
      </c>
      <c r="AT69" s="5">
        <f t="shared" si="48"/>
        <v>0</v>
      </c>
      <c r="AU69" s="5">
        <f t="shared" si="49"/>
        <v>0</v>
      </c>
      <c r="AV69" s="5">
        <f t="shared" si="50"/>
        <v>0</v>
      </c>
      <c r="AW69" s="6" t="str">
        <f t="shared" si="51"/>
        <v/>
      </c>
    </row>
    <row r="70" spans="1:49" x14ac:dyDescent="0.25">
      <c r="A70" s="3" t="s">
        <v>79</v>
      </c>
      <c r="B70" s="5">
        <f>300</f>
        <v>300</v>
      </c>
      <c r="C70" s="5">
        <f>5000</f>
        <v>5000</v>
      </c>
      <c r="D70" s="5">
        <f t="shared" si="26"/>
        <v>-4700</v>
      </c>
      <c r="E70" s="6">
        <f t="shared" si="27"/>
        <v>0.06</v>
      </c>
      <c r="F70" s="5">
        <f>25</f>
        <v>25</v>
      </c>
      <c r="G70" s="5">
        <f>0</f>
        <v>0</v>
      </c>
      <c r="H70" s="5">
        <f t="shared" si="28"/>
        <v>25</v>
      </c>
      <c r="I70" s="6" t="str">
        <f t="shared" si="29"/>
        <v/>
      </c>
      <c r="J70" s="5">
        <f>1400</f>
        <v>1400</v>
      </c>
      <c r="K70" s="5">
        <f>0</f>
        <v>0</v>
      </c>
      <c r="L70" s="5">
        <f t="shared" si="30"/>
        <v>1400</v>
      </c>
      <c r="M70" s="6" t="str">
        <f t="shared" si="31"/>
        <v/>
      </c>
      <c r="N70" s="5">
        <f>125</f>
        <v>125</v>
      </c>
      <c r="O70" s="5">
        <f>0</f>
        <v>0</v>
      </c>
      <c r="P70" s="5">
        <f t="shared" si="32"/>
        <v>125</v>
      </c>
      <c r="Q70" s="6" t="str">
        <f t="shared" si="33"/>
        <v/>
      </c>
      <c r="R70" s="4"/>
      <c r="S70" s="5">
        <f>0</f>
        <v>0</v>
      </c>
      <c r="T70" s="5">
        <f t="shared" si="34"/>
        <v>0</v>
      </c>
      <c r="U70" s="6" t="str">
        <f t="shared" si="35"/>
        <v/>
      </c>
      <c r="V70" s="4"/>
      <c r="W70" s="5">
        <f>0</f>
        <v>0</v>
      </c>
      <c r="X70" s="5">
        <f t="shared" si="36"/>
        <v>0</v>
      </c>
      <c r="Y70" s="6" t="str">
        <f t="shared" si="37"/>
        <v/>
      </c>
      <c r="Z70" s="4"/>
      <c r="AA70" s="5">
        <f>0</f>
        <v>0</v>
      </c>
      <c r="AB70" s="5">
        <f t="shared" si="38"/>
        <v>0</v>
      </c>
      <c r="AC70" s="6" t="str">
        <f t="shared" si="39"/>
        <v/>
      </c>
      <c r="AD70" s="5">
        <f>50</f>
        <v>50</v>
      </c>
      <c r="AE70" s="5">
        <f>0</f>
        <v>0</v>
      </c>
      <c r="AF70" s="5">
        <f t="shared" si="40"/>
        <v>50</v>
      </c>
      <c r="AG70" s="6" t="str">
        <f t="shared" si="41"/>
        <v/>
      </c>
      <c r="AH70" s="4"/>
      <c r="AI70" s="5">
        <f>0</f>
        <v>0</v>
      </c>
      <c r="AJ70" s="5">
        <f t="shared" si="42"/>
        <v>0</v>
      </c>
      <c r="AK70" s="6" t="str">
        <f t="shared" si="43"/>
        <v/>
      </c>
      <c r="AL70" s="4"/>
      <c r="AM70" s="5">
        <f>0</f>
        <v>0</v>
      </c>
      <c r="AN70" s="5">
        <f t="shared" si="44"/>
        <v>0</v>
      </c>
      <c r="AO70" s="6" t="str">
        <f t="shared" si="45"/>
        <v/>
      </c>
      <c r="AP70" s="4"/>
      <c r="AQ70" s="5">
        <f>0</f>
        <v>0</v>
      </c>
      <c r="AR70" s="5">
        <f t="shared" si="46"/>
        <v>0</v>
      </c>
      <c r="AS70" s="6" t="str">
        <f t="shared" si="47"/>
        <v/>
      </c>
      <c r="AT70" s="5">
        <f t="shared" si="48"/>
        <v>1900</v>
      </c>
      <c r="AU70" s="5">
        <f t="shared" si="49"/>
        <v>5000</v>
      </c>
      <c r="AV70" s="5">
        <f t="shared" si="50"/>
        <v>-3100</v>
      </c>
      <c r="AW70" s="6">
        <f t="shared" si="51"/>
        <v>0.38</v>
      </c>
    </row>
    <row r="71" spans="1:49" x14ac:dyDescent="0.25">
      <c r="A71" s="3" t="s">
        <v>80</v>
      </c>
      <c r="B71" s="4"/>
      <c r="C71" s="5">
        <f>0</f>
        <v>0</v>
      </c>
      <c r="D71" s="5">
        <f t="shared" si="26"/>
        <v>0</v>
      </c>
      <c r="E71" s="6" t="str">
        <f t="shared" si="27"/>
        <v/>
      </c>
      <c r="F71" s="4"/>
      <c r="G71" s="5">
        <f>0</f>
        <v>0</v>
      </c>
      <c r="H71" s="5">
        <f t="shared" si="28"/>
        <v>0</v>
      </c>
      <c r="I71" s="6" t="str">
        <f t="shared" si="29"/>
        <v/>
      </c>
      <c r="J71" s="4"/>
      <c r="K71" s="5">
        <f>0</f>
        <v>0</v>
      </c>
      <c r="L71" s="5">
        <f t="shared" si="30"/>
        <v>0</v>
      </c>
      <c r="M71" s="6" t="str">
        <f t="shared" si="31"/>
        <v/>
      </c>
      <c r="N71" s="4"/>
      <c r="O71" s="5">
        <f>0</f>
        <v>0</v>
      </c>
      <c r="P71" s="5">
        <f t="shared" si="32"/>
        <v>0</v>
      </c>
      <c r="Q71" s="6" t="str">
        <f t="shared" si="33"/>
        <v/>
      </c>
      <c r="R71" s="4"/>
      <c r="S71" s="5">
        <f>0</f>
        <v>0</v>
      </c>
      <c r="T71" s="5">
        <f t="shared" si="34"/>
        <v>0</v>
      </c>
      <c r="U71" s="6" t="str">
        <f t="shared" si="35"/>
        <v/>
      </c>
      <c r="V71" s="4"/>
      <c r="W71" s="5">
        <f>0</f>
        <v>0</v>
      </c>
      <c r="X71" s="5">
        <f t="shared" si="36"/>
        <v>0</v>
      </c>
      <c r="Y71" s="6" t="str">
        <f t="shared" si="37"/>
        <v/>
      </c>
      <c r="Z71" s="4"/>
      <c r="AA71" s="5">
        <f>0</f>
        <v>0</v>
      </c>
      <c r="AB71" s="5">
        <f t="shared" si="38"/>
        <v>0</v>
      </c>
      <c r="AC71" s="6" t="str">
        <f t="shared" si="39"/>
        <v/>
      </c>
      <c r="AD71" s="4"/>
      <c r="AE71" s="5">
        <f>0</f>
        <v>0</v>
      </c>
      <c r="AF71" s="5">
        <f t="shared" si="40"/>
        <v>0</v>
      </c>
      <c r="AG71" s="6" t="str">
        <f t="shared" si="41"/>
        <v/>
      </c>
      <c r="AH71" s="5">
        <f>500</f>
        <v>500</v>
      </c>
      <c r="AI71" s="5">
        <f>0</f>
        <v>0</v>
      </c>
      <c r="AJ71" s="5">
        <f t="shared" si="42"/>
        <v>500</v>
      </c>
      <c r="AK71" s="6" t="str">
        <f t="shared" si="43"/>
        <v/>
      </c>
      <c r="AL71" s="4"/>
      <c r="AM71" s="5">
        <f>0</f>
        <v>0</v>
      </c>
      <c r="AN71" s="5">
        <f t="shared" si="44"/>
        <v>0</v>
      </c>
      <c r="AO71" s="6" t="str">
        <f t="shared" si="45"/>
        <v/>
      </c>
      <c r="AP71" s="4"/>
      <c r="AQ71" s="5">
        <f>0</f>
        <v>0</v>
      </c>
      <c r="AR71" s="5">
        <f t="shared" si="46"/>
        <v>0</v>
      </c>
      <c r="AS71" s="6" t="str">
        <f t="shared" si="47"/>
        <v/>
      </c>
      <c r="AT71" s="5">
        <f t="shared" si="48"/>
        <v>500</v>
      </c>
      <c r="AU71" s="5">
        <f t="shared" si="49"/>
        <v>0</v>
      </c>
      <c r="AV71" s="5">
        <f t="shared" si="50"/>
        <v>500</v>
      </c>
      <c r="AW71" s="6" t="str">
        <f t="shared" si="51"/>
        <v/>
      </c>
    </row>
    <row r="72" spans="1:49" x14ac:dyDescent="0.25">
      <c r="A72" s="3" t="s">
        <v>81</v>
      </c>
      <c r="B72" s="4"/>
      <c r="C72" s="5">
        <f>5000</f>
        <v>5000</v>
      </c>
      <c r="D72" s="5">
        <f t="shared" si="26"/>
        <v>-5000</v>
      </c>
      <c r="E72" s="6">
        <f t="shared" si="27"/>
        <v>0</v>
      </c>
      <c r="F72" s="4"/>
      <c r="G72" s="5">
        <f>0</f>
        <v>0</v>
      </c>
      <c r="H72" s="5">
        <f t="shared" si="28"/>
        <v>0</v>
      </c>
      <c r="I72" s="6" t="str">
        <f t="shared" si="29"/>
        <v/>
      </c>
      <c r="J72" s="4"/>
      <c r="K72" s="5">
        <f>0</f>
        <v>0</v>
      </c>
      <c r="L72" s="5">
        <f t="shared" si="30"/>
        <v>0</v>
      </c>
      <c r="M72" s="6" t="str">
        <f t="shared" si="31"/>
        <v/>
      </c>
      <c r="N72" s="4"/>
      <c r="O72" s="5">
        <f>0</f>
        <v>0</v>
      </c>
      <c r="P72" s="5">
        <f t="shared" si="32"/>
        <v>0</v>
      </c>
      <c r="Q72" s="6" t="str">
        <f t="shared" si="33"/>
        <v/>
      </c>
      <c r="R72" s="5">
        <f>85</f>
        <v>85</v>
      </c>
      <c r="S72" s="5">
        <f>0</f>
        <v>0</v>
      </c>
      <c r="T72" s="5">
        <f t="shared" si="34"/>
        <v>85</v>
      </c>
      <c r="U72" s="6" t="str">
        <f t="shared" si="35"/>
        <v/>
      </c>
      <c r="V72" s="4"/>
      <c r="W72" s="5">
        <f>0</f>
        <v>0</v>
      </c>
      <c r="X72" s="5">
        <f t="shared" si="36"/>
        <v>0</v>
      </c>
      <c r="Y72" s="6" t="str">
        <f t="shared" si="37"/>
        <v/>
      </c>
      <c r="Z72" s="5">
        <f>308</f>
        <v>308</v>
      </c>
      <c r="AA72" s="5">
        <f>0</f>
        <v>0</v>
      </c>
      <c r="AB72" s="5">
        <f t="shared" si="38"/>
        <v>308</v>
      </c>
      <c r="AC72" s="6" t="str">
        <f t="shared" si="39"/>
        <v/>
      </c>
      <c r="AD72" s="4"/>
      <c r="AE72" s="5">
        <f>0</f>
        <v>0</v>
      </c>
      <c r="AF72" s="5">
        <f t="shared" si="40"/>
        <v>0</v>
      </c>
      <c r="AG72" s="6" t="str">
        <f t="shared" si="41"/>
        <v/>
      </c>
      <c r="AH72" s="4"/>
      <c r="AI72" s="5">
        <f>0</f>
        <v>0</v>
      </c>
      <c r="AJ72" s="5">
        <f t="shared" si="42"/>
        <v>0</v>
      </c>
      <c r="AK72" s="6" t="str">
        <f t="shared" si="43"/>
        <v/>
      </c>
      <c r="AL72" s="4"/>
      <c r="AM72" s="5">
        <f>0</f>
        <v>0</v>
      </c>
      <c r="AN72" s="5">
        <f t="shared" si="44"/>
        <v>0</v>
      </c>
      <c r="AO72" s="6" t="str">
        <f t="shared" si="45"/>
        <v/>
      </c>
      <c r="AP72" s="4"/>
      <c r="AQ72" s="5">
        <f>0</f>
        <v>0</v>
      </c>
      <c r="AR72" s="5">
        <f t="shared" si="46"/>
        <v>0</v>
      </c>
      <c r="AS72" s="6" t="str">
        <f t="shared" si="47"/>
        <v/>
      </c>
      <c r="AT72" s="5">
        <f t="shared" si="48"/>
        <v>393</v>
      </c>
      <c r="AU72" s="5">
        <f t="shared" si="49"/>
        <v>5000</v>
      </c>
      <c r="AV72" s="5">
        <f t="shared" si="50"/>
        <v>-4607</v>
      </c>
      <c r="AW72" s="6">
        <f t="shared" si="51"/>
        <v>7.8600000000000003E-2</v>
      </c>
    </row>
    <row r="73" spans="1:49" x14ac:dyDescent="0.25">
      <c r="A73" s="3" t="s">
        <v>82</v>
      </c>
      <c r="B73" s="7">
        <f>(((B69)+(B70))+(B71))+(B72)</f>
        <v>300</v>
      </c>
      <c r="C73" s="7">
        <f>(((C69)+(C70))+(C71))+(C72)</f>
        <v>10000</v>
      </c>
      <c r="D73" s="7">
        <f t="shared" si="26"/>
        <v>-9700</v>
      </c>
      <c r="E73" s="8">
        <f t="shared" si="27"/>
        <v>0.03</v>
      </c>
      <c r="F73" s="7">
        <f>(((F69)+(F70))+(F71))+(F72)</f>
        <v>25</v>
      </c>
      <c r="G73" s="7">
        <f>(((G69)+(G70))+(G71))+(G72)</f>
        <v>0</v>
      </c>
      <c r="H73" s="7">
        <f t="shared" si="28"/>
        <v>25</v>
      </c>
      <c r="I73" s="8" t="str">
        <f t="shared" si="29"/>
        <v/>
      </c>
      <c r="J73" s="7">
        <f>(((J69)+(J70))+(J71))+(J72)</f>
        <v>1400</v>
      </c>
      <c r="K73" s="7">
        <f>(((K69)+(K70))+(K71))+(K72)</f>
        <v>0</v>
      </c>
      <c r="L73" s="7">
        <f t="shared" si="30"/>
        <v>1400</v>
      </c>
      <c r="M73" s="8" t="str">
        <f t="shared" si="31"/>
        <v/>
      </c>
      <c r="N73" s="7">
        <f>(((N69)+(N70))+(N71))+(N72)</f>
        <v>125</v>
      </c>
      <c r="O73" s="7">
        <f>(((O69)+(O70))+(O71))+(O72)</f>
        <v>0</v>
      </c>
      <c r="P73" s="7">
        <f t="shared" si="32"/>
        <v>125</v>
      </c>
      <c r="Q73" s="8" t="str">
        <f t="shared" si="33"/>
        <v/>
      </c>
      <c r="R73" s="7">
        <f>(((R69)+(R70))+(R71))+(R72)</f>
        <v>85</v>
      </c>
      <c r="S73" s="7">
        <f>(((S69)+(S70))+(S71))+(S72)</f>
        <v>0</v>
      </c>
      <c r="T73" s="7">
        <f t="shared" si="34"/>
        <v>85</v>
      </c>
      <c r="U73" s="8" t="str">
        <f t="shared" si="35"/>
        <v/>
      </c>
      <c r="V73" s="7">
        <f>(((V69)+(V70))+(V71))+(V72)</f>
        <v>0</v>
      </c>
      <c r="W73" s="7">
        <f>(((W69)+(W70))+(W71))+(W72)</f>
        <v>0</v>
      </c>
      <c r="X73" s="7">
        <f t="shared" si="36"/>
        <v>0</v>
      </c>
      <c r="Y73" s="8" t="str">
        <f t="shared" si="37"/>
        <v/>
      </c>
      <c r="Z73" s="7">
        <f>(((Z69)+(Z70))+(Z71))+(Z72)</f>
        <v>308</v>
      </c>
      <c r="AA73" s="7">
        <f>(((AA69)+(AA70))+(AA71))+(AA72)</f>
        <v>0</v>
      </c>
      <c r="AB73" s="7">
        <f t="shared" si="38"/>
        <v>308</v>
      </c>
      <c r="AC73" s="8" t="str">
        <f t="shared" si="39"/>
        <v/>
      </c>
      <c r="AD73" s="7">
        <f>(((AD69)+(AD70))+(AD71))+(AD72)</f>
        <v>50</v>
      </c>
      <c r="AE73" s="7">
        <f>(((AE69)+(AE70))+(AE71))+(AE72)</f>
        <v>0</v>
      </c>
      <c r="AF73" s="7">
        <f t="shared" si="40"/>
        <v>50</v>
      </c>
      <c r="AG73" s="8" t="str">
        <f t="shared" si="41"/>
        <v/>
      </c>
      <c r="AH73" s="7">
        <f>(((AH69)+(AH70))+(AH71))+(AH72)</f>
        <v>500</v>
      </c>
      <c r="AI73" s="7">
        <f>(((AI69)+(AI70))+(AI71))+(AI72)</f>
        <v>0</v>
      </c>
      <c r="AJ73" s="7">
        <f t="shared" si="42"/>
        <v>500</v>
      </c>
      <c r="AK73" s="8" t="str">
        <f t="shared" si="43"/>
        <v/>
      </c>
      <c r="AL73" s="7">
        <f>(((AL69)+(AL70))+(AL71))+(AL72)</f>
        <v>0</v>
      </c>
      <c r="AM73" s="7">
        <f>(((AM69)+(AM70))+(AM71))+(AM72)</f>
        <v>0</v>
      </c>
      <c r="AN73" s="7">
        <f t="shared" si="44"/>
        <v>0</v>
      </c>
      <c r="AO73" s="8" t="str">
        <f t="shared" si="45"/>
        <v/>
      </c>
      <c r="AP73" s="7">
        <f>(((AP69)+(AP70))+(AP71))+(AP72)</f>
        <v>0</v>
      </c>
      <c r="AQ73" s="7">
        <f>(((AQ69)+(AQ70))+(AQ71))+(AQ72)</f>
        <v>0</v>
      </c>
      <c r="AR73" s="7">
        <f t="shared" si="46"/>
        <v>0</v>
      </c>
      <c r="AS73" s="8" t="str">
        <f t="shared" si="47"/>
        <v/>
      </c>
      <c r="AT73" s="7">
        <f t="shared" si="48"/>
        <v>2793</v>
      </c>
      <c r="AU73" s="7">
        <f t="shared" si="49"/>
        <v>10000</v>
      </c>
      <c r="AV73" s="7">
        <f t="shared" si="50"/>
        <v>-7207</v>
      </c>
      <c r="AW73" s="8">
        <f t="shared" si="51"/>
        <v>0.27929999999999999</v>
      </c>
    </row>
    <row r="74" spans="1:49" x14ac:dyDescent="0.25">
      <c r="A74" s="3" t="s">
        <v>83</v>
      </c>
      <c r="B74" s="4"/>
      <c r="C74" s="5">
        <f>2000</f>
        <v>2000</v>
      </c>
      <c r="D74" s="5">
        <f t="shared" si="26"/>
        <v>-2000</v>
      </c>
      <c r="E74" s="6">
        <f t="shared" si="27"/>
        <v>0</v>
      </c>
      <c r="F74" s="5">
        <f>1046.27</f>
        <v>1046.27</v>
      </c>
      <c r="G74" s="5">
        <f>0</f>
        <v>0</v>
      </c>
      <c r="H74" s="5">
        <f t="shared" si="28"/>
        <v>1046.27</v>
      </c>
      <c r="I74" s="6" t="str">
        <f t="shared" si="29"/>
        <v/>
      </c>
      <c r="J74" s="4"/>
      <c r="K74" s="5">
        <f>0</f>
        <v>0</v>
      </c>
      <c r="L74" s="5">
        <f t="shared" si="30"/>
        <v>0</v>
      </c>
      <c r="M74" s="6" t="str">
        <f t="shared" si="31"/>
        <v/>
      </c>
      <c r="N74" s="4"/>
      <c r="O74" s="5">
        <f>0</f>
        <v>0</v>
      </c>
      <c r="P74" s="5">
        <f t="shared" si="32"/>
        <v>0</v>
      </c>
      <c r="Q74" s="6" t="str">
        <f t="shared" si="33"/>
        <v/>
      </c>
      <c r="R74" s="4"/>
      <c r="S74" s="5">
        <f>0</f>
        <v>0</v>
      </c>
      <c r="T74" s="5">
        <f t="shared" si="34"/>
        <v>0</v>
      </c>
      <c r="U74" s="6" t="str">
        <f t="shared" si="35"/>
        <v/>
      </c>
      <c r="V74" s="4"/>
      <c r="W74" s="5">
        <f>0</f>
        <v>0</v>
      </c>
      <c r="X74" s="5">
        <f t="shared" si="36"/>
        <v>0</v>
      </c>
      <c r="Y74" s="6" t="str">
        <f t="shared" si="37"/>
        <v/>
      </c>
      <c r="Z74" s="5">
        <f>400</f>
        <v>400</v>
      </c>
      <c r="AA74" s="5">
        <f>0</f>
        <v>0</v>
      </c>
      <c r="AB74" s="5">
        <f t="shared" si="38"/>
        <v>400</v>
      </c>
      <c r="AC74" s="6" t="str">
        <f t="shared" si="39"/>
        <v/>
      </c>
      <c r="AD74" s="5">
        <f>173.32</f>
        <v>173.32</v>
      </c>
      <c r="AE74" s="5">
        <f>0</f>
        <v>0</v>
      </c>
      <c r="AF74" s="5">
        <f t="shared" si="40"/>
        <v>173.32</v>
      </c>
      <c r="AG74" s="6" t="str">
        <f t="shared" si="41"/>
        <v/>
      </c>
      <c r="AH74" s="5">
        <f>318</f>
        <v>318</v>
      </c>
      <c r="AI74" s="5">
        <f>0</f>
        <v>0</v>
      </c>
      <c r="AJ74" s="5">
        <f t="shared" si="42"/>
        <v>318</v>
      </c>
      <c r="AK74" s="6" t="str">
        <f t="shared" si="43"/>
        <v/>
      </c>
      <c r="AL74" s="4"/>
      <c r="AM74" s="5">
        <f>0</f>
        <v>0</v>
      </c>
      <c r="AN74" s="5">
        <f t="shared" si="44"/>
        <v>0</v>
      </c>
      <c r="AO74" s="6" t="str">
        <f t="shared" si="45"/>
        <v/>
      </c>
      <c r="AP74" s="5">
        <f>123.75</f>
        <v>123.75</v>
      </c>
      <c r="AQ74" s="5">
        <f>0</f>
        <v>0</v>
      </c>
      <c r="AR74" s="5">
        <f t="shared" si="46"/>
        <v>123.75</v>
      </c>
      <c r="AS74" s="6" t="str">
        <f t="shared" si="47"/>
        <v/>
      </c>
      <c r="AT74" s="5">
        <f t="shared" si="48"/>
        <v>2061.34</v>
      </c>
      <c r="AU74" s="5">
        <f t="shared" si="49"/>
        <v>2000</v>
      </c>
      <c r="AV74" s="5">
        <f t="shared" si="50"/>
        <v>61.340000000000146</v>
      </c>
      <c r="AW74" s="6">
        <f t="shared" si="51"/>
        <v>1.03067</v>
      </c>
    </row>
    <row r="75" spans="1:49" x14ac:dyDescent="0.25">
      <c r="A75" s="3" t="s">
        <v>84</v>
      </c>
      <c r="B75" s="4"/>
      <c r="C75" s="4"/>
      <c r="D75" s="5">
        <f t="shared" si="26"/>
        <v>0</v>
      </c>
      <c r="E75" s="6" t="str">
        <f t="shared" si="27"/>
        <v/>
      </c>
      <c r="F75" s="4"/>
      <c r="G75" s="4"/>
      <c r="H75" s="5">
        <f t="shared" si="28"/>
        <v>0</v>
      </c>
      <c r="I75" s="6" t="str">
        <f t="shared" si="29"/>
        <v/>
      </c>
      <c r="J75" s="4"/>
      <c r="K75" s="4"/>
      <c r="L75" s="5">
        <f t="shared" si="30"/>
        <v>0</v>
      </c>
      <c r="M75" s="6" t="str">
        <f t="shared" si="31"/>
        <v/>
      </c>
      <c r="N75" s="4"/>
      <c r="O75" s="4"/>
      <c r="P75" s="5">
        <f t="shared" si="32"/>
        <v>0</v>
      </c>
      <c r="Q75" s="6" t="str">
        <f t="shared" si="33"/>
        <v/>
      </c>
      <c r="R75" s="4"/>
      <c r="S75" s="4"/>
      <c r="T75" s="5">
        <f t="shared" si="34"/>
        <v>0</v>
      </c>
      <c r="U75" s="6" t="str">
        <f t="shared" si="35"/>
        <v/>
      </c>
      <c r="V75" s="5">
        <f>1.99</f>
        <v>1.99</v>
      </c>
      <c r="W75" s="4"/>
      <c r="X75" s="5">
        <f t="shared" si="36"/>
        <v>1.99</v>
      </c>
      <c r="Y75" s="6" t="str">
        <f t="shared" si="37"/>
        <v/>
      </c>
      <c r="Z75" s="4"/>
      <c r="AA75" s="4"/>
      <c r="AB75" s="5">
        <f t="shared" si="38"/>
        <v>0</v>
      </c>
      <c r="AC75" s="6" t="str">
        <f t="shared" si="39"/>
        <v/>
      </c>
      <c r="AD75" s="4"/>
      <c r="AE75" s="4"/>
      <c r="AF75" s="5">
        <f t="shared" si="40"/>
        <v>0</v>
      </c>
      <c r="AG75" s="6" t="str">
        <f t="shared" si="41"/>
        <v/>
      </c>
      <c r="AH75" s="4"/>
      <c r="AI75" s="4"/>
      <c r="AJ75" s="5">
        <f t="shared" si="42"/>
        <v>0</v>
      </c>
      <c r="AK75" s="6" t="str">
        <f t="shared" si="43"/>
        <v/>
      </c>
      <c r="AL75" s="4"/>
      <c r="AM75" s="4"/>
      <c r="AN75" s="5">
        <f t="shared" si="44"/>
        <v>0</v>
      </c>
      <c r="AO75" s="6" t="str">
        <f t="shared" si="45"/>
        <v/>
      </c>
      <c r="AP75" s="4"/>
      <c r="AQ75" s="4"/>
      <c r="AR75" s="5">
        <f t="shared" si="46"/>
        <v>0</v>
      </c>
      <c r="AS75" s="6" t="str">
        <f t="shared" si="47"/>
        <v/>
      </c>
      <c r="AT75" s="5">
        <f t="shared" si="48"/>
        <v>1.99</v>
      </c>
      <c r="AU75" s="5">
        <f t="shared" si="49"/>
        <v>0</v>
      </c>
      <c r="AV75" s="5">
        <f t="shared" si="50"/>
        <v>1.99</v>
      </c>
      <c r="AW75" s="6" t="str">
        <f t="shared" si="51"/>
        <v/>
      </c>
    </row>
    <row r="76" spans="1:49" x14ac:dyDescent="0.25">
      <c r="A76" s="3" t="s">
        <v>85</v>
      </c>
      <c r="B76" s="5">
        <f>453.78</f>
        <v>453.78</v>
      </c>
      <c r="C76" s="5">
        <f>100</f>
        <v>100</v>
      </c>
      <c r="D76" s="5">
        <f t="shared" si="26"/>
        <v>353.78</v>
      </c>
      <c r="E76" s="6">
        <f t="shared" si="27"/>
        <v>4.5377999999999998</v>
      </c>
      <c r="F76" s="5">
        <f>155.63</f>
        <v>155.63</v>
      </c>
      <c r="G76" s="5">
        <f>0</f>
        <v>0</v>
      </c>
      <c r="H76" s="5">
        <f t="shared" si="28"/>
        <v>155.63</v>
      </c>
      <c r="I76" s="6" t="str">
        <f t="shared" si="29"/>
        <v/>
      </c>
      <c r="J76" s="5">
        <f>80.31</f>
        <v>80.31</v>
      </c>
      <c r="K76" s="5">
        <f>0</f>
        <v>0</v>
      </c>
      <c r="L76" s="5">
        <f t="shared" si="30"/>
        <v>80.31</v>
      </c>
      <c r="M76" s="6" t="str">
        <f t="shared" si="31"/>
        <v/>
      </c>
      <c r="N76" s="5">
        <f>35</f>
        <v>35</v>
      </c>
      <c r="O76" s="5">
        <f>0</f>
        <v>0</v>
      </c>
      <c r="P76" s="5">
        <f t="shared" si="32"/>
        <v>35</v>
      </c>
      <c r="Q76" s="6" t="str">
        <f t="shared" si="33"/>
        <v/>
      </c>
      <c r="R76" s="4"/>
      <c r="S76" s="5">
        <f>0</f>
        <v>0</v>
      </c>
      <c r="T76" s="5">
        <f t="shared" si="34"/>
        <v>0</v>
      </c>
      <c r="U76" s="6" t="str">
        <f t="shared" si="35"/>
        <v/>
      </c>
      <c r="V76" s="4"/>
      <c r="W76" s="5">
        <f>0</f>
        <v>0</v>
      </c>
      <c r="X76" s="5">
        <f t="shared" si="36"/>
        <v>0</v>
      </c>
      <c r="Y76" s="6" t="str">
        <f t="shared" si="37"/>
        <v/>
      </c>
      <c r="Z76" s="4"/>
      <c r="AA76" s="5">
        <f>0</f>
        <v>0</v>
      </c>
      <c r="AB76" s="5">
        <f t="shared" si="38"/>
        <v>0</v>
      </c>
      <c r="AC76" s="6" t="str">
        <f t="shared" si="39"/>
        <v/>
      </c>
      <c r="AD76" s="4"/>
      <c r="AE76" s="5">
        <f>0</f>
        <v>0</v>
      </c>
      <c r="AF76" s="5">
        <f t="shared" si="40"/>
        <v>0</v>
      </c>
      <c r="AG76" s="6" t="str">
        <f t="shared" si="41"/>
        <v/>
      </c>
      <c r="AH76" s="4"/>
      <c r="AI76" s="5">
        <f>0</f>
        <v>0</v>
      </c>
      <c r="AJ76" s="5">
        <f t="shared" si="42"/>
        <v>0</v>
      </c>
      <c r="AK76" s="6" t="str">
        <f t="shared" si="43"/>
        <v/>
      </c>
      <c r="AL76" s="4"/>
      <c r="AM76" s="5">
        <f>0</f>
        <v>0</v>
      </c>
      <c r="AN76" s="5">
        <f t="shared" si="44"/>
        <v>0</v>
      </c>
      <c r="AO76" s="6" t="str">
        <f t="shared" si="45"/>
        <v/>
      </c>
      <c r="AP76" s="4"/>
      <c r="AQ76" s="5">
        <f>0</f>
        <v>0</v>
      </c>
      <c r="AR76" s="5">
        <f t="shared" si="46"/>
        <v>0</v>
      </c>
      <c r="AS76" s="6" t="str">
        <f t="shared" si="47"/>
        <v/>
      </c>
      <c r="AT76" s="5">
        <f t="shared" si="48"/>
        <v>724.72</v>
      </c>
      <c r="AU76" s="5">
        <f t="shared" si="49"/>
        <v>100</v>
      </c>
      <c r="AV76" s="5">
        <f t="shared" si="50"/>
        <v>624.72</v>
      </c>
      <c r="AW76" s="6">
        <f t="shared" si="51"/>
        <v>7.2472000000000003</v>
      </c>
    </row>
    <row r="77" spans="1:49" x14ac:dyDescent="0.25">
      <c r="A77" s="3" t="s">
        <v>86</v>
      </c>
      <c r="B77" s="5">
        <f>0.6</f>
        <v>0.6</v>
      </c>
      <c r="C77" s="4"/>
      <c r="D77" s="5">
        <f t="shared" si="26"/>
        <v>0.6</v>
      </c>
      <c r="E77" s="6" t="str">
        <f t="shared" si="27"/>
        <v/>
      </c>
      <c r="F77" s="5">
        <f>3.32</f>
        <v>3.32</v>
      </c>
      <c r="G77" s="4"/>
      <c r="H77" s="5">
        <f t="shared" si="28"/>
        <v>3.32</v>
      </c>
      <c r="I77" s="6" t="str">
        <f t="shared" si="29"/>
        <v/>
      </c>
      <c r="J77" s="5">
        <f>2.63</f>
        <v>2.63</v>
      </c>
      <c r="K77" s="4"/>
      <c r="L77" s="5">
        <f t="shared" si="30"/>
        <v>2.63</v>
      </c>
      <c r="M77" s="6" t="str">
        <f t="shared" si="31"/>
        <v/>
      </c>
      <c r="N77" s="5">
        <f>0.43</f>
        <v>0.43</v>
      </c>
      <c r="O77" s="4"/>
      <c r="P77" s="5">
        <f t="shared" si="32"/>
        <v>0.43</v>
      </c>
      <c r="Q77" s="6" t="str">
        <f t="shared" si="33"/>
        <v/>
      </c>
      <c r="R77" s="5">
        <f>16.64</f>
        <v>16.64</v>
      </c>
      <c r="S77" s="4"/>
      <c r="T77" s="5">
        <f t="shared" si="34"/>
        <v>16.64</v>
      </c>
      <c r="U77" s="6" t="str">
        <f t="shared" si="35"/>
        <v/>
      </c>
      <c r="V77" s="5">
        <f>23.03</f>
        <v>23.03</v>
      </c>
      <c r="W77" s="4"/>
      <c r="X77" s="5">
        <f t="shared" si="36"/>
        <v>23.03</v>
      </c>
      <c r="Y77" s="6" t="str">
        <f t="shared" si="37"/>
        <v/>
      </c>
      <c r="Z77" s="5">
        <f>11.9</f>
        <v>11.9</v>
      </c>
      <c r="AA77" s="4"/>
      <c r="AB77" s="5">
        <f t="shared" si="38"/>
        <v>11.9</v>
      </c>
      <c r="AC77" s="6" t="str">
        <f t="shared" si="39"/>
        <v/>
      </c>
      <c r="AD77" s="5">
        <f>2.69</f>
        <v>2.69</v>
      </c>
      <c r="AE77" s="4"/>
      <c r="AF77" s="5">
        <f t="shared" si="40"/>
        <v>2.69</v>
      </c>
      <c r="AG77" s="6" t="str">
        <f t="shared" si="41"/>
        <v/>
      </c>
      <c r="AH77" s="5">
        <f>12.6</f>
        <v>12.6</v>
      </c>
      <c r="AI77" s="4"/>
      <c r="AJ77" s="5">
        <f t="shared" si="42"/>
        <v>12.6</v>
      </c>
      <c r="AK77" s="6" t="str">
        <f t="shared" si="43"/>
        <v/>
      </c>
      <c r="AL77" s="5">
        <f>87.67</f>
        <v>87.67</v>
      </c>
      <c r="AM77" s="4"/>
      <c r="AN77" s="5">
        <f t="shared" si="44"/>
        <v>87.67</v>
      </c>
      <c r="AO77" s="6" t="str">
        <f t="shared" si="45"/>
        <v/>
      </c>
      <c r="AP77" s="5">
        <f>18.09</f>
        <v>18.09</v>
      </c>
      <c r="AQ77" s="4"/>
      <c r="AR77" s="5">
        <f t="shared" si="46"/>
        <v>18.09</v>
      </c>
      <c r="AS77" s="6" t="str">
        <f t="shared" si="47"/>
        <v/>
      </c>
      <c r="AT77" s="5">
        <f t="shared" si="48"/>
        <v>179.6</v>
      </c>
      <c r="AU77" s="5">
        <f t="shared" si="49"/>
        <v>0</v>
      </c>
      <c r="AV77" s="5">
        <f t="shared" si="50"/>
        <v>179.6</v>
      </c>
      <c r="AW77" s="6" t="str">
        <f t="shared" si="51"/>
        <v/>
      </c>
    </row>
    <row r="78" spans="1:49" x14ac:dyDescent="0.25">
      <c r="A78" s="3" t="s">
        <v>87</v>
      </c>
      <c r="B78" s="7">
        <f>(B76)+(B77)</f>
        <v>454.38</v>
      </c>
      <c r="C78" s="7">
        <f>(C76)+(C77)</f>
        <v>100</v>
      </c>
      <c r="D78" s="7">
        <f t="shared" si="26"/>
        <v>354.38</v>
      </c>
      <c r="E78" s="8">
        <f t="shared" si="27"/>
        <v>4.5438000000000001</v>
      </c>
      <c r="F78" s="7">
        <f>(F76)+(F77)</f>
        <v>158.94999999999999</v>
      </c>
      <c r="G78" s="7">
        <f>(G76)+(G77)</f>
        <v>0</v>
      </c>
      <c r="H78" s="7">
        <f t="shared" si="28"/>
        <v>158.94999999999999</v>
      </c>
      <c r="I78" s="8" t="str">
        <f t="shared" si="29"/>
        <v/>
      </c>
      <c r="J78" s="7">
        <f>(J76)+(J77)</f>
        <v>82.94</v>
      </c>
      <c r="K78" s="7">
        <f>(K76)+(K77)</f>
        <v>0</v>
      </c>
      <c r="L78" s="7">
        <f t="shared" si="30"/>
        <v>82.94</v>
      </c>
      <c r="M78" s="8" t="str">
        <f t="shared" si="31"/>
        <v/>
      </c>
      <c r="N78" s="7">
        <f>(N76)+(N77)</f>
        <v>35.43</v>
      </c>
      <c r="O78" s="7">
        <f>(O76)+(O77)</f>
        <v>0</v>
      </c>
      <c r="P78" s="7">
        <f t="shared" si="32"/>
        <v>35.43</v>
      </c>
      <c r="Q78" s="8" t="str">
        <f t="shared" si="33"/>
        <v/>
      </c>
      <c r="R78" s="7">
        <f>(R76)+(R77)</f>
        <v>16.64</v>
      </c>
      <c r="S78" s="7">
        <f>(S76)+(S77)</f>
        <v>0</v>
      </c>
      <c r="T78" s="7">
        <f t="shared" si="34"/>
        <v>16.64</v>
      </c>
      <c r="U78" s="8" t="str">
        <f t="shared" si="35"/>
        <v/>
      </c>
      <c r="V78" s="7">
        <f>(V76)+(V77)</f>
        <v>23.03</v>
      </c>
      <c r="W78" s="7">
        <f>(W76)+(W77)</f>
        <v>0</v>
      </c>
      <c r="X78" s="7">
        <f t="shared" si="36"/>
        <v>23.03</v>
      </c>
      <c r="Y78" s="8" t="str">
        <f t="shared" si="37"/>
        <v/>
      </c>
      <c r="Z78" s="7">
        <f>(Z76)+(Z77)</f>
        <v>11.9</v>
      </c>
      <c r="AA78" s="7">
        <f>(AA76)+(AA77)</f>
        <v>0</v>
      </c>
      <c r="AB78" s="7">
        <f t="shared" si="38"/>
        <v>11.9</v>
      </c>
      <c r="AC78" s="8" t="str">
        <f t="shared" si="39"/>
        <v/>
      </c>
      <c r="AD78" s="7">
        <f>(AD76)+(AD77)</f>
        <v>2.69</v>
      </c>
      <c r="AE78" s="7">
        <f>(AE76)+(AE77)</f>
        <v>0</v>
      </c>
      <c r="AF78" s="7">
        <f t="shared" si="40"/>
        <v>2.69</v>
      </c>
      <c r="AG78" s="8" t="str">
        <f t="shared" si="41"/>
        <v/>
      </c>
      <c r="AH78" s="7">
        <f>(AH76)+(AH77)</f>
        <v>12.6</v>
      </c>
      <c r="AI78" s="7">
        <f>(AI76)+(AI77)</f>
        <v>0</v>
      </c>
      <c r="AJ78" s="7">
        <f t="shared" si="42"/>
        <v>12.6</v>
      </c>
      <c r="AK78" s="8" t="str">
        <f t="shared" si="43"/>
        <v/>
      </c>
      <c r="AL78" s="7">
        <f>(AL76)+(AL77)</f>
        <v>87.67</v>
      </c>
      <c r="AM78" s="7">
        <f>(AM76)+(AM77)</f>
        <v>0</v>
      </c>
      <c r="AN78" s="7">
        <f t="shared" si="44"/>
        <v>87.67</v>
      </c>
      <c r="AO78" s="8" t="str">
        <f t="shared" si="45"/>
        <v/>
      </c>
      <c r="AP78" s="7">
        <f>(AP76)+(AP77)</f>
        <v>18.09</v>
      </c>
      <c r="AQ78" s="7">
        <f>(AQ76)+(AQ77)</f>
        <v>0</v>
      </c>
      <c r="AR78" s="7">
        <f t="shared" si="46"/>
        <v>18.09</v>
      </c>
      <c r="AS78" s="8" t="str">
        <f t="shared" si="47"/>
        <v/>
      </c>
      <c r="AT78" s="7">
        <f t="shared" si="48"/>
        <v>904.31999999999994</v>
      </c>
      <c r="AU78" s="7">
        <f t="shared" si="49"/>
        <v>100</v>
      </c>
      <c r="AV78" s="7">
        <f t="shared" si="50"/>
        <v>804.31999999999994</v>
      </c>
      <c r="AW78" s="8">
        <f t="shared" si="51"/>
        <v>9.0431999999999988</v>
      </c>
    </row>
    <row r="79" spans="1:49" x14ac:dyDescent="0.25">
      <c r="A79" s="3" t="s">
        <v>88</v>
      </c>
      <c r="B79" s="5">
        <f>573.31</f>
        <v>573.30999999999995</v>
      </c>
      <c r="C79" s="5">
        <f>2700</f>
        <v>2700</v>
      </c>
      <c r="D79" s="5">
        <f t="shared" si="26"/>
        <v>-2126.69</v>
      </c>
      <c r="E79" s="6">
        <f t="shared" si="27"/>
        <v>0.21233703703703702</v>
      </c>
      <c r="F79" s="5">
        <f>294.6</f>
        <v>294.60000000000002</v>
      </c>
      <c r="G79" s="5">
        <f>0</f>
        <v>0</v>
      </c>
      <c r="H79" s="5">
        <f t="shared" si="28"/>
        <v>294.60000000000002</v>
      </c>
      <c r="I79" s="6" t="str">
        <f t="shared" si="29"/>
        <v/>
      </c>
      <c r="J79" s="5">
        <f>20</f>
        <v>20</v>
      </c>
      <c r="K79" s="5">
        <f>0</f>
        <v>0</v>
      </c>
      <c r="L79" s="5">
        <f t="shared" si="30"/>
        <v>20</v>
      </c>
      <c r="M79" s="6" t="str">
        <f t="shared" si="31"/>
        <v/>
      </c>
      <c r="N79" s="5">
        <f>173.99</f>
        <v>173.99</v>
      </c>
      <c r="O79" s="5">
        <f>0</f>
        <v>0</v>
      </c>
      <c r="P79" s="5">
        <f t="shared" si="32"/>
        <v>173.99</v>
      </c>
      <c r="Q79" s="6" t="str">
        <f t="shared" si="33"/>
        <v/>
      </c>
      <c r="R79" s="5">
        <f>662.4</f>
        <v>662.4</v>
      </c>
      <c r="S79" s="5">
        <f>0</f>
        <v>0</v>
      </c>
      <c r="T79" s="5">
        <f t="shared" si="34"/>
        <v>662.4</v>
      </c>
      <c r="U79" s="6" t="str">
        <f t="shared" si="35"/>
        <v/>
      </c>
      <c r="V79" s="5">
        <f>36.75</f>
        <v>36.75</v>
      </c>
      <c r="W79" s="5">
        <f>0</f>
        <v>0</v>
      </c>
      <c r="X79" s="5">
        <f t="shared" si="36"/>
        <v>36.75</v>
      </c>
      <c r="Y79" s="6" t="str">
        <f t="shared" si="37"/>
        <v/>
      </c>
      <c r="Z79" s="5">
        <f>8.4</f>
        <v>8.4</v>
      </c>
      <c r="AA79" s="5">
        <f>0</f>
        <v>0</v>
      </c>
      <c r="AB79" s="5">
        <f t="shared" si="38"/>
        <v>8.4</v>
      </c>
      <c r="AC79" s="6" t="str">
        <f t="shared" si="39"/>
        <v/>
      </c>
      <c r="AD79" s="5">
        <f>7</f>
        <v>7</v>
      </c>
      <c r="AE79" s="5">
        <f>0</f>
        <v>0</v>
      </c>
      <c r="AF79" s="5">
        <f t="shared" si="40"/>
        <v>7</v>
      </c>
      <c r="AG79" s="6" t="str">
        <f t="shared" si="41"/>
        <v/>
      </c>
      <c r="AH79" s="5">
        <f>316.99</f>
        <v>316.99</v>
      </c>
      <c r="AI79" s="5">
        <f>0</f>
        <v>0</v>
      </c>
      <c r="AJ79" s="5">
        <f t="shared" si="42"/>
        <v>316.99</v>
      </c>
      <c r="AK79" s="6" t="str">
        <f t="shared" si="43"/>
        <v/>
      </c>
      <c r="AL79" s="5">
        <f>7</f>
        <v>7</v>
      </c>
      <c r="AM79" s="5">
        <f>0</f>
        <v>0</v>
      </c>
      <c r="AN79" s="5">
        <f t="shared" si="44"/>
        <v>7</v>
      </c>
      <c r="AO79" s="6" t="str">
        <f t="shared" si="45"/>
        <v/>
      </c>
      <c r="AP79" s="5">
        <f>7</f>
        <v>7</v>
      </c>
      <c r="AQ79" s="5">
        <f>0</f>
        <v>0</v>
      </c>
      <c r="AR79" s="5">
        <f t="shared" si="46"/>
        <v>7</v>
      </c>
      <c r="AS79" s="6" t="str">
        <f t="shared" si="47"/>
        <v/>
      </c>
      <c r="AT79" s="5">
        <f t="shared" si="48"/>
        <v>2107.4400000000005</v>
      </c>
      <c r="AU79" s="5">
        <f t="shared" si="49"/>
        <v>2700</v>
      </c>
      <c r="AV79" s="5">
        <f t="shared" si="50"/>
        <v>-592.55999999999949</v>
      </c>
      <c r="AW79" s="6">
        <f t="shared" si="51"/>
        <v>0.78053333333333352</v>
      </c>
    </row>
    <row r="80" spans="1:49" x14ac:dyDescent="0.25">
      <c r="A80" s="3" t="s">
        <v>89</v>
      </c>
      <c r="B80" s="4"/>
      <c r="C80" s="4"/>
      <c r="D80" s="5">
        <f t="shared" si="26"/>
        <v>0</v>
      </c>
      <c r="E80" s="6" t="str">
        <f t="shared" si="27"/>
        <v/>
      </c>
      <c r="F80" s="4"/>
      <c r="G80" s="4"/>
      <c r="H80" s="5">
        <f t="shared" si="28"/>
        <v>0</v>
      </c>
      <c r="I80" s="6" t="str">
        <f t="shared" si="29"/>
        <v/>
      </c>
      <c r="J80" s="4"/>
      <c r="K80" s="4"/>
      <c r="L80" s="5">
        <f t="shared" si="30"/>
        <v>0</v>
      </c>
      <c r="M80" s="6" t="str">
        <f t="shared" si="31"/>
        <v/>
      </c>
      <c r="N80" s="5">
        <f>6.29</f>
        <v>6.29</v>
      </c>
      <c r="O80" s="4"/>
      <c r="P80" s="5">
        <f t="shared" si="32"/>
        <v>6.29</v>
      </c>
      <c r="Q80" s="6" t="str">
        <f t="shared" si="33"/>
        <v/>
      </c>
      <c r="R80" s="4"/>
      <c r="S80" s="4"/>
      <c r="T80" s="5">
        <f t="shared" si="34"/>
        <v>0</v>
      </c>
      <c r="U80" s="6" t="str">
        <f t="shared" si="35"/>
        <v/>
      </c>
      <c r="V80" s="4"/>
      <c r="W80" s="4"/>
      <c r="X80" s="5">
        <f t="shared" si="36"/>
        <v>0</v>
      </c>
      <c r="Y80" s="6" t="str">
        <f t="shared" si="37"/>
        <v/>
      </c>
      <c r="Z80" s="4"/>
      <c r="AA80" s="4"/>
      <c r="AB80" s="5">
        <f t="shared" si="38"/>
        <v>0</v>
      </c>
      <c r="AC80" s="6" t="str">
        <f t="shared" si="39"/>
        <v/>
      </c>
      <c r="AD80" s="5">
        <f>3500</f>
        <v>3500</v>
      </c>
      <c r="AE80" s="4"/>
      <c r="AF80" s="5">
        <f t="shared" si="40"/>
        <v>3500</v>
      </c>
      <c r="AG80" s="6" t="str">
        <f t="shared" si="41"/>
        <v/>
      </c>
      <c r="AH80" s="5">
        <f>5500</f>
        <v>5500</v>
      </c>
      <c r="AI80" s="4"/>
      <c r="AJ80" s="5">
        <f t="shared" si="42"/>
        <v>5500</v>
      </c>
      <c r="AK80" s="6" t="str">
        <f t="shared" si="43"/>
        <v/>
      </c>
      <c r="AL80" s="4"/>
      <c r="AM80" s="4"/>
      <c r="AN80" s="5">
        <f t="shared" si="44"/>
        <v>0</v>
      </c>
      <c r="AO80" s="6" t="str">
        <f t="shared" si="45"/>
        <v/>
      </c>
      <c r="AP80" s="4"/>
      <c r="AQ80" s="4"/>
      <c r="AR80" s="5">
        <f t="shared" si="46"/>
        <v>0</v>
      </c>
      <c r="AS80" s="6" t="str">
        <f t="shared" si="47"/>
        <v/>
      </c>
      <c r="AT80" s="5">
        <f t="shared" si="48"/>
        <v>9006.2900000000009</v>
      </c>
      <c r="AU80" s="5">
        <f t="shared" si="49"/>
        <v>0</v>
      </c>
      <c r="AV80" s="5">
        <f t="shared" si="50"/>
        <v>9006.2900000000009</v>
      </c>
      <c r="AW80" s="6" t="str">
        <f t="shared" si="51"/>
        <v/>
      </c>
    </row>
    <row r="81" spans="1:49" x14ac:dyDescent="0.25">
      <c r="A81" s="3" t="s">
        <v>90</v>
      </c>
      <c r="B81" s="4"/>
      <c r="C81" s="5">
        <f>500</f>
        <v>500</v>
      </c>
      <c r="D81" s="5">
        <f t="shared" si="26"/>
        <v>-500</v>
      </c>
      <c r="E81" s="6">
        <f t="shared" si="27"/>
        <v>0</v>
      </c>
      <c r="F81" s="4"/>
      <c r="G81" s="5">
        <f>0</f>
        <v>0</v>
      </c>
      <c r="H81" s="5">
        <f t="shared" si="28"/>
        <v>0</v>
      </c>
      <c r="I81" s="6" t="str">
        <f t="shared" si="29"/>
        <v/>
      </c>
      <c r="J81" s="4"/>
      <c r="K81" s="5">
        <f>0</f>
        <v>0</v>
      </c>
      <c r="L81" s="5">
        <f t="shared" si="30"/>
        <v>0</v>
      </c>
      <c r="M81" s="6" t="str">
        <f t="shared" si="31"/>
        <v/>
      </c>
      <c r="N81" s="4"/>
      <c r="O81" s="5">
        <f>0</f>
        <v>0</v>
      </c>
      <c r="P81" s="5">
        <f t="shared" si="32"/>
        <v>0</v>
      </c>
      <c r="Q81" s="6" t="str">
        <f t="shared" si="33"/>
        <v/>
      </c>
      <c r="R81" s="4"/>
      <c r="S81" s="5">
        <f>0</f>
        <v>0</v>
      </c>
      <c r="T81" s="5">
        <f t="shared" si="34"/>
        <v>0</v>
      </c>
      <c r="U81" s="6" t="str">
        <f t="shared" si="35"/>
        <v/>
      </c>
      <c r="V81" s="4"/>
      <c r="W81" s="5">
        <f>0</f>
        <v>0</v>
      </c>
      <c r="X81" s="5">
        <f t="shared" si="36"/>
        <v>0</v>
      </c>
      <c r="Y81" s="6" t="str">
        <f t="shared" si="37"/>
        <v/>
      </c>
      <c r="Z81" s="4"/>
      <c r="AA81" s="5">
        <f>0</f>
        <v>0</v>
      </c>
      <c r="AB81" s="5">
        <f t="shared" si="38"/>
        <v>0</v>
      </c>
      <c r="AC81" s="6" t="str">
        <f t="shared" si="39"/>
        <v/>
      </c>
      <c r="AD81" s="4"/>
      <c r="AE81" s="5">
        <f>0</f>
        <v>0</v>
      </c>
      <c r="AF81" s="5">
        <f t="shared" si="40"/>
        <v>0</v>
      </c>
      <c r="AG81" s="6" t="str">
        <f t="shared" si="41"/>
        <v/>
      </c>
      <c r="AH81" s="4"/>
      <c r="AI81" s="5">
        <f>0</f>
        <v>0</v>
      </c>
      <c r="AJ81" s="5">
        <f t="shared" si="42"/>
        <v>0</v>
      </c>
      <c r="AK81" s="6" t="str">
        <f t="shared" si="43"/>
        <v/>
      </c>
      <c r="AL81" s="4"/>
      <c r="AM81" s="5">
        <f>0</f>
        <v>0</v>
      </c>
      <c r="AN81" s="5">
        <f t="shared" si="44"/>
        <v>0</v>
      </c>
      <c r="AO81" s="6" t="str">
        <f t="shared" si="45"/>
        <v/>
      </c>
      <c r="AP81" s="4"/>
      <c r="AQ81" s="5">
        <f>0</f>
        <v>0</v>
      </c>
      <c r="AR81" s="5">
        <f t="shared" si="46"/>
        <v>0</v>
      </c>
      <c r="AS81" s="6" t="str">
        <f t="shared" si="47"/>
        <v/>
      </c>
      <c r="AT81" s="5">
        <f t="shared" si="48"/>
        <v>0</v>
      </c>
      <c r="AU81" s="5">
        <f t="shared" si="49"/>
        <v>500</v>
      </c>
      <c r="AV81" s="5">
        <f t="shared" si="50"/>
        <v>-500</v>
      </c>
      <c r="AW81" s="6">
        <f t="shared" si="51"/>
        <v>0</v>
      </c>
    </row>
    <row r="82" spans="1:49" x14ac:dyDescent="0.25">
      <c r="A82" s="3" t="s">
        <v>91</v>
      </c>
      <c r="B82" s="7">
        <f>((((B75)+(B78))+(B79))+(B80))+(B81)</f>
        <v>1027.69</v>
      </c>
      <c r="C82" s="7">
        <f>((((C75)+(C78))+(C79))+(C80))+(C81)</f>
        <v>3300</v>
      </c>
      <c r="D82" s="7">
        <f t="shared" si="26"/>
        <v>-2272.31</v>
      </c>
      <c r="E82" s="8">
        <f t="shared" si="27"/>
        <v>0.31142121212121215</v>
      </c>
      <c r="F82" s="7">
        <f>((((F75)+(F78))+(F79))+(F80))+(F81)</f>
        <v>453.55</v>
      </c>
      <c r="G82" s="7">
        <f>((((G75)+(G78))+(G79))+(G80))+(G81)</f>
        <v>0</v>
      </c>
      <c r="H82" s="7">
        <f t="shared" si="28"/>
        <v>453.55</v>
      </c>
      <c r="I82" s="8" t="str">
        <f t="shared" si="29"/>
        <v/>
      </c>
      <c r="J82" s="7">
        <f>((((J75)+(J78))+(J79))+(J80))+(J81)</f>
        <v>102.94</v>
      </c>
      <c r="K82" s="7">
        <f>((((K75)+(K78))+(K79))+(K80))+(K81)</f>
        <v>0</v>
      </c>
      <c r="L82" s="7">
        <f t="shared" si="30"/>
        <v>102.94</v>
      </c>
      <c r="M82" s="8" t="str">
        <f t="shared" si="31"/>
        <v/>
      </c>
      <c r="N82" s="7">
        <f>((((N75)+(N78))+(N79))+(N80))+(N81)</f>
        <v>215.71</v>
      </c>
      <c r="O82" s="7">
        <f>((((O75)+(O78))+(O79))+(O80))+(O81)</f>
        <v>0</v>
      </c>
      <c r="P82" s="7">
        <f t="shared" si="32"/>
        <v>215.71</v>
      </c>
      <c r="Q82" s="8" t="str">
        <f t="shared" si="33"/>
        <v/>
      </c>
      <c r="R82" s="7">
        <f>((((R75)+(R78))+(R79))+(R80))+(R81)</f>
        <v>679.04</v>
      </c>
      <c r="S82" s="7">
        <f>((((S75)+(S78))+(S79))+(S80))+(S81)</f>
        <v>0</v>
      </c>
      <c r="T82" s="7">
        <f t="shared" si="34"/>
        <v>679.04</v>
      </c>
      <c r="U82" s="8" t="str">
        <f t="shared" si="35"/>
        <v/>
      </c>
      <c r="V82" s="7">
        <f>((((V75)+(V78))+(V79))+(V80))+(V81)</f>
        <v>61.769999999999996</v>
      </c>
      <c r="W82" s="7">
        <f>((((W75)+(W78))+(W79))+(W80))+(W81)</f>
        <v>0</v>
      </c>
      <c r="X82" s="7">
        <f t="shared" si="36"/>
        <v>61.769999999999996</v>
      </c>
      <c r="Y82" s="8" t="str">
        <f t="shared" si="37"/>
        <v/>
      </c>
      <c r="Z82" s="7">
        <f>((((Z75)+(Z78))+(Z79))+(Z80))+(Z81)</f>
        <v>20.3</v>
      </c>
      <c r="AA82" s="7">
        <f>((((AA75)+(AA78))+(AA79))+(AA80))+(AA81)</f>
        <v>0</v>
      </c>
      <c r="AB82" s="7">
        <f t="shared" si="38"/>
        <v>20.3</v>
      </c>
      <c r="AC82" s="8" t="str">
        <f t="shared" si="39"/>
        <v/>
      </c>
      <c r="AD82" s="7">
        <f>((((AD75)+(AD78))+(AD79))+(AD80))+(AD81)</f>
        <v>3509.69</v>
      </c>
      <c r="AE82" s="7">
        <f>((((AE75)+(AE78))+(AE79))+(AE80))+(AE81)</f>
        <v>0</v>
      </c>
      <c r="AF82" s="7">
        <f t="shared" si="40"/>
        <v>3509.69</v>
      </c>
      <c r="AG82" s="8" t="str">
        <f t="shared" si="41"/>
        <v/>
      </c>
      <c r="AH82" s="7">
        <f>((((AH75)+(AH78))+(AH79))+(AH80))+(AH81)</f>
        <v>5829.59</v>
      </c>
      <c r="AI82" s="7">
        <f>((((AI75)+(AI78))+(AI79))+(AI80))+(AI81)</f>
        <v>0</v>
      </c>
      <c r="AJ82" s="7">
        <f t="shared" si="42"/>
        <v>5829.59</v>
      </c>
      <c r="AK82" s="8" t="str">
        <f t="shared" si="43"/>
        <v/>
      </c>
      <c r="AL82" s="7">
        <f>((((AL75)+(AL78))+(AL79))+(AL80))+(AL81)</f>
        <v>94.67</v>
      </c>
      <c r="AM82" s="7">
        <f>((((AM75)+(AM78))+(AM79))+(AM80))+(AM81)</f>
        <v>0</v>
      </c>
      <c r="AN82" s="7">
        <f t="shared" si="44"/>
        <v>94.67</v>
      </c>
      <c r="AO82" s="8" t="str">
        <f t="shared" si="45"/>
        <v/>
      </c>
      <c r="AP82" s="7">
        <f>((((AP75)+(AP78))+(AP79))+(AP80))+(AP81)</f>
        <v>25.09</v>
      </c>
      <c r="AQ82" s="7">
        <f>((((AQ75)+(AQ78))+(AQ79))+(AQ80))+(AQ81)</f>
        <v>0</v>
      </c>
      <c r="AR82" s="7">
        <f t="shared" si="46"/>
        <v>25.09</v>
      </c>
      <c r="AS82" s="8" t="str">
        <f t="shared" si="47"/>
        <v/>
      </c>
      <c r="AT82" s="7">
        <f t="shared" si="48"/>
        <v>12020.04</v>
      </c>
      <c r="AU82" s="7">
        <f t="shared" si="49"/>
        <v>3300</v>
      </c>
      <c r="AV82" s="7">
        <f t="shared" si="50"/>
        <v>8720.0400000000009</v>
      </c>
      <c r="AW82" s="8">
        <f t="shared" si="51"/>
        <v>3.6424363636363637</v>
      </c>
    </row>
    <row r="83" spans="1:49" x14ac:dyDescent="0.25">
      <c r="A83" s="3" t="s">
        <v>92</v>
      </c>
      <c r="B83" s="5">
        <f>159.69</f>
        <v>159.69</v>
      </c>
      <c r="C83" s="5">
        <f>4000</f>
        <v>4000</v>
      </c>
      <c r="D83" s="5">
        <f t="shared" si="26"/>
        <v>-3840.31</v>
      </c>
      <c r="E83" s="6">
        <f t="shared" si="27"/>
        <v>3.99225E-2</v>
      </c>
      <c r="F83" s="5">
        <f>405.76</f>
        <v>405.76</v>
      </c>
      <c r="G83" s="5">
        <f>0</f>
        <v>0</v>
      </c>
      <c r="H83" s="5">
        <f t="shared" si="28"/>
        <v>405.76</v>
      </c>
      <c r="I83" s="6" t="str">
        <f t="shared" si="29"/>
        <v/>
      </c>
      <c r="J83" s="5">
        <f>1173.27</f>
        <v>1173.27</v>
      </c>
      <c r="K83" s="5">
        <f>0</f>
        <v>0</v>
      </c>
      <c r="L83" s="5">
        <f t="shared" si="30"/>
        <v>1173.27</v>
      </c>
      <c r="M83" s="6" t="str">
        <f t="shared" si="31"/>
        <v/>
      </c>
      <c r="N83" s="5">
        <f>214.92</f>
        <v>214.92</v>
      </c>
      <c r="O83" s="5">
        <f>0</f>
        <v>0</v>
      </c>
      <c r="P83" s="5">
        <f t="shared" si="32"/>
        <v>214.92</v>
      </c>
      <c r="Q83" s="6" t="str">
        <f t="shared" si="33"/>
        <v/>
      </c>
      <c r="R83" s="5">
        <f>293.24</f>
        <v>293.24</v>
      </c>
      <c r="S83" s="5">
        <f>0</f>
        <v>0</v>
      </c>
      <c r="T83" s="5">
        <f t="shared" si="34"/>
        <v>293.24</v>
      </c>
      <c r="U83" s="6" t="str">
        <f t="shared" si="35"/>
        <v/>
      </c>
      <c r="V83" s="5">
        <f>250.71</f>
        <v>250.71</v>
      </c>
      <c r="W83" s="5">
        <f>0</f>
        <v>0</v>
      </c>
      <c r="X83" s="5">
        <f t="shared" si="36"/>
        <v>250.71</v>
      </c>
      <c r="Y83" s="6" t="str">
        <f t="shared" si="37"/>
        <v/>
      </c>
      <c r="Z83" s="5">
        <f>1041.26</f>
        <v>1041.26</v>
      </c>
      <c r="AA83" s="5">
        <f>0</f>
        <v>0</v>
      </c>
      <c r="AB83" s="5">
        <f t="shared" si="38"/>
        <v>1041.26</v>
      </c>
      <c r="AC83" s="6" t="str">
        <f t="shared" si="39"/>
        <v/>
      </c>
      <c r="AD83" s="5">
        <f>303.57</f>
        <v>303.57</v>
      </c>
      <c r="AE83" s="5">
        <f>0</f>
        <v>0</v>
      </c>
      <c r="AF83" s="5">
        <f t="shared" si="40"/>
        <v>303.57</v>
      </c>
      <c r="AG83" s="6" t="str">
        <f t="shared" si="41"/>
        <v/>
      </c>
      <c r="AH83" s="5">
        <f>235.92</f>
        <v>235.92</v>
      </c>
      <c r="AI83" s="5">
        <f>0</f>
        <v>0</v>
      </c>
      <c r="AJ83" s="5">
        <f t="shared" si="42"/>
        <v>235.92</v>
      </c>
      <c r="AK83" s="6" t="str">
        <f t="shared" si="43"/>
        <v/>
      </c>
      <c r="AL83" s="5">
        <f>580.31</f>
        <v>580.30999999999995</v>
      </c>
      <c r="AM83" s="5">
        <f>0</f>
        <v>0</v>
      </c>
      <c r="AN83" s="5">
        <f t="shared" si="44"/>
        <v>580.30999999999995</v>
      </c>
      <c r="AO83" s="6" t="str">
        <f t="shared" si="45"/>
        <v/>
      </c>
      <c r="AP83" s="5">
        <f>43.94</f>
        <v>43.94</v>
      </c>
      <c r="AQ83" s="5">
        <f>0</f>
        <v>0</v>
      </c>
      <c r="AR83" s="5">
        <f t="shared" si="46"/>
        <v>43.94</v>
      </c>
      <c r="AS83" s="6" t="str">
        <f t="shared" si="47"/>
        <v/>
      </c>
      <c r="AT83" s="5">
        <f t="shared" si="48"/>
        <v>4702.59</v>
      </c>
      <c r="AU83" s="5">
        <f t="shared" si="49"/>
        <v>4000</v>
      </c>
      <c r="AV83" s="5">
        <f t="shared" si="50"/>
        <v>702.59000000000015</v>
      </c>
      <c r="AW83" s="6">
        <f t="shared" si="51"/>
        <v>1.1756475</v>
      </c>
    </row>
    <row r="84" spans="1:49" x14ac:dyDescent="0.25">
      <c r="A84" s="3" t="s">
        <v>93</v>
      </c>
      <c r="B84" s="4"/>
      <c r="C84" s="5">
        <f>1000</f>
        <v>1000</v>
      </c>
      <c r="D84" s="5">
        <f t="shared" si="26"/>
        <v>-1000</v>
      </c>
      <c r="E84" s="6">
        <f t="shared" si="27"/>
        <v>0</v>
      </c>
      <c r="F84" s="4"/>
      <c r="G84" s="5">
        <f>0</f>
        <v>0</v>
      </c>
      <c r="H84" s="5">
        <f t="shared" si="28"/>
        <v>0</v>
      </c>
      <c r="I84" s="6" t="str">
        <f t="shared" si="29"/>
        <v/>
      </c>
      <c r="J84" s="5">
        <f>73</f>
        <v>73</v>
      </c>
      <c r="K84" s="5">
        <f>0</f>
        <v>0</v>
      </c>
      <c r="L84" s="5">
        <f t="shared" si="30"/>
        <v>73</v>
      </c>
      <c r="M84" s="6" t="str">
        <f t="shared" si="31"/>
        <v/>
      </c>
      <c r="N84" s="4"/>
      <c r="O84" s="5">
        <f>0</f>
        <v>0</v>
      </c>
      <c r="P84" s="5">
        <f t="shared" si="32"/>
        <v>0</v>
      </c>
      <c r="Q84" s="6" t="str">
        <f t="shared" si="33"/>
        <v/>
      </c>
      <c r="R84" s="4"/>
      <c r="S84" s="5">
        <f>0</f>
        <v>0</v>
      </c>
      <c r="T84" s="5">
        <f t="shared" si="34"/>
        <v>0</v>
      </c>
      <c r="U84" s="6" t="str">
        <f t="shared" si="35"/>
        <v/>
      </c>
      <c r="V84" s="4"/>
      <c r="W84" s="5">
        <f>0</f>
        <v>0</v>
      </c>
      <c r="X84" s="5">
        <f t="shared" si="36"/>
        <v>0</v>
      </c>
      <c r="Y84" s="6" t="str">
        <f t="shared" si="37"/>
        <v/>
      </c>
      <c r="Z84" s="4"/>
      <c r="AA84" s="5">
        <f>0</f>
        <v>0</v>
      </c>
      <c r="AB84" s="5">
        <f t="shared" si="38"/>
        <v>0</v>
      </c>
      <c r="AC84" s="6" t="str">
        <f t="shared" si="39"/>
        <v/>
      </c>
      <c r="AD84" s="4"/>
      <c r="AE84" s="5">
        <f>0</f>
        <v>0</v>
      </c>
      <c r="AF84" s="5">
        <f t="shared" si="40"/>
        <v>0</v>
      </c>
      <c r="AG84" s="6" t="str">
        <f t="shared" si="41"/>
        <v/>
      </c>
      <c r="AH84" s="4"/>
      <c r="AI84" s="5">
        <f>0</f>
        <v>0</v>
      </c>
      <c r="AJ84" s="5">
        <f t="shared" si="42"/>
        <v>0</v>
      </c>
      <c r="AK84" s="6" t="str">
        <f t="shared" si="43"/>
        <v/>
      </c>
      <c r="AL84" s="4"/>
      <c r="AM84" s="5">
        <f>0</f>
        <v>0</v>
      </c>
      <c r="AN84" s="5">
        <f t="shared" si="44"/>
        <v>0</v>
      </c>
      <c r="AO84" s="6" t="str">
        <f t="shared" si="45"/>
        <v/>
      </c>
      <c r="AP84" s="5">
        <f>103.54</f>
        <v>103.54</v>
      </c>
      <c r="AQ84" s="5">
        <f>0</f>
        <v>0</v>
      </c>
      <c r="AR84" s="5">
        <f t="shared" si="46"/>
        <v>103.54</v>
      </c>
      <c r="AS84" s="6" t="str">
        <f t="shared" si="47"/>
        <v/>
      </c>
      <c r="AT84" s="5">
        <f t="shared" si="48"/>
        <v>176.54000000000002</v>
      </c>
      <c r="AU84" s="5">
        <f t="shared" si="49"/>
        <v>1000</v>
      </c>
      <c r="AV84" s="5">
        <f t="shared" si="50"/>
        <v>-823.46</v>
      </c>
      <c r="AW84" s="6">
        <f t="shared" si="51"/>
        <v>0.17654000000000003</v>
      </c>
    </row>
    <row r="85" spans="1:49" x14ac:dyDescent="0.25">
      <c r="A85" s="3" t="s">
        <v>94</v>
      </c>
      <c r="B85" s="7">
        <f>((((((((((B56)+(B57))+(B61))+(B64))+(B65))+(B68))+(B73))+(B74))+(B82))+(B83))+(B84)</f>
        <v>20519.409999999996</v>
      </c>
      <c r="C85" s="7">
        <f>((((((((((C56)+(C57))+(C61))+(C64))+(C65))+(C68))+(C73))+(C74))+(C82))+(C83))+(C84)</f>
        <v>60150</v>
      </c>
      <c r="D85" s="7">
        <f t="shared" si="26"/>
        <v>-39630.590000000004</v>
      </c>
      <c r="E85" s="8">
        <f t="shared" si="27"/>
        <v>0.34113732335827091</v>
      </c>
      <c r="F85" s="7">
        <f>((((((((((F56)+(F57))+(F61))+(F64))+(F65))+(F68))+(F73))+(F74))+(F82))+(F83))+(F84)</f>
        <v>6114.3300000000008</v>
      </c>
      <c r="G85" s="7">
        <f>((((((((((G56)+(G57))+(G61))+(G64))+(G65))+(G68))+(G73))+(G74))+(G82))+(G83))+(G84)</f>
        <v>0</v>
      </c>
      <c r="H85" s="7">
        <f t="shared" si="28"/>
        <v>6114.3300000000008</v>
      </c>
      <c r="I85" s="8" t="str">
        <f t="shared" si="29"/>
        <v/>
      </c>
      <c r="J85" s="7">
        <f>((((((((((J56)+(J57))+(J61))+(J64))+(J65))+(J68))+(J73))+(J74))+(J82))+(J83))+(J84)</f>
        <v>3652.16</v>
      </c>
      <c r="K85" s="7">
        <f>((((((((((K56)+(K57))+(K61))+(K64))+(K65))+(K68))+(K73))+(K74))+(K82))+(K83))+(K84)</f>
        <v>0</v>
      </c>
      <c r="L85" s="7">
        <f t="shared" si="30"/>
        <v>3652.16</v>
      </c>
      <c r="M85" s="8" t="str">
        <f t="shared" si="31"/>
        <v/>
      </c>
      <c r="N85" s="7">
        <f>((((((((((N56)+(N57))+(N61))+(N64))+(N65))+(N68))+(N73))+(N74))+(N82))+(N83))+(N84)</f>
        <v>1233.0900000000001</v>
      </c>
      <c r="O85" s="7">
        <f>((((((((((O56)+(O57))+(O61))+(O64))+(O65))+(O68))+(O73))+(O74))+(O82))+(O83))+(O84)</f>
        <v>0</v>
      </c>
      <c r="P85" s="7">
        <f t="shared" si="32"/>
        <v>1233.0900000000001</v>
      </c>
      <c r="Q85" s="8" t="str">
        <f t="shared" si="33"/>
        <v/>
      </c>
      <c r="R85" s="7">
        <f>((((((((((R56)+(R57))+(R61))+(R64))+(R65))+(R68))+(R73))+(R74))+(R82))+(R83))+(R84)</f>
        <v>2765.6499999999996</v>
      </c>
      <c r="S85" s="7">
        <f>((((((((((S56)+(S57))+(S61))+(S64))+(S65))+(S68))+(S73))+(S74))+(S82))+(S83))+(S84)</f>
        <v>0</v>
      </c>
      <c r="T85" s="7">
        <f t="shared" si="34"/>
        <v>2765.6499999999996</v>
      </c>
      <c r="U85" s="8" t="str">
        <f t="shared" si="35"/>
        <v/>
      </c>
      <c r="V85" s="7">
        <f>((((((((((V56)+(V57))+(V61))+(V64))+(V65))+(V68))+(V73))+(V74))+(V82))+(V83))+(V84)</f>
        <v>3079.18</v>
      </c>
      <c r="W85" s="7">
        <f>((((((((((W56)+(W57))+(W61))+(W64))+(W65))+(W68))+(W73))+(W74))+(W82))+(W83))+(W84)</f>
        <v>0</v>
      </c>
      <c r="X85" s="7">
        <f t="shared" si="36"/>
        <v>3079.18</v>
      </c>
      <c r="Y85" s="8" t="str">
        <f t="shared" si="37"/>
        <v/>
      </c>
      <c r="Z85" s="7">
        <f>((((((((((Z56)+(Z57))+(Z61))+(Z64))+(Z65))+(Z68))+(Z73))+(Z74))+(Z82))+(Z83))+(Z84)</f>
        <v>3002.1499999999996</v>
      </c>
      <c r="AA85" s="7">
        <f>((((((((((AA56)+(AA57))+(AA61))+(AA64))+(AA65))+(AA68))+(AA73))+(AA74))+(AA82))+(AA83))+(AA84)</f>
        <v>0</v>
      </c>
      <c r="AB85" s="7">
        <f t="shared" si="38"/>
        <v>3002.1499999999996</v>
      </c>
      <c r="AC85" s="8" t="str">
        <f t="shared" si="39"/>
        <v/>
      </c>
      <c r="AD85" s="7">
        <f>((((((((((AD56)+(AD57))+(AD61))+(AD64))+(AD65))+(AD68))+(AD73))+(AD74))+(AD82))+(AD83))+(AD84)</f>
        <v>4914.9699999999993</v>
      </c>
      <c r="AE85" s="7">
        <f>((((((((((AE56)+(AE57))+(AE61))+(AE64))+(AE65))+(AE68))+(AE73))+(AE74))+(AE82))+(AE83))+(AE84)</f>
        <v>0</v>
      </c>
      <c r="AF85" s="7">
        <f t="shared" si="40"/>
        <v>4914.9699999999993</v>
      </c>
      <c r="AG85" s="8" t="str">
        <f t="shared" si="41"/>
        <v/>
      </c>
      <c r="AH85" s="7">
        <f>((((((((((AH56)+(AH57))+(AH61))+(AH64))+(AH65))+(AH68))+(AH73))+(AH74))+(AH82))+(AH83))+(AH84)</f>
        <v>8219.35</v>
      </c>
      <c r="AI85" s="7">
        <f>((((((((((AI56)+(AI57))+(AI61))+(AI64))+(AI65))+(AI68))+(AI73))+(AI74))+(AI82))+(AI83))+(AI84)</f>
        <v>0</v>
      </c>
      <c r="AJ85" s="7">
        <f t="shared" si="42"/>
        <v>8219.35</v>
      </c>
      <c r="AK85" s="8" t="str">
        <f t="shared" si="43"/>
        <v/>
      </c>
      <c r="AL85" s="7">
        <f>((((((((((AL56)+(AL57))+(AL61))+(AL64))+(AL65))+(AL68))+(AL73))+(AL74))+(AL82))+(AL83))+(AL84)</f>
        <v>15615.51</v>
      </c>
      <c r="AM85" s="7">
        <f>((((((((((AM56)+(AM57))+(AM61))+(AM64))+(AM65))+(AM68))+(AM73))+(AM74))+(AM82))+(AM83))+(AM84)</f>
        <v>0</v>
      </c>
      <c r="AN85" s="7">
        <f t="shared" si="44"/>
        <v>15615.51</v>
      </c>
      <c r="AO85" s="8" t="str">
        <f t="shared" si="45"/>
        <v/>
      </c>
      <c r="AP85" s="7">
        <f>((((((((((AP56)+(AP57))+(AP61))+(AP64))+(AP65))+(AP68))+(AP73))+(AP74))+(AP82))+(AP83))+(AP84)</f>
        <v>1289.28</v>
      </c>
      <c r="AQ85" s="7">
        <f>((((((((((AQ56)+(AQ57))+(AQ61))+(AQ64))+(AQ65))+(AQ68))+(AQ73))+(AQ74))+(AQ82))+(AQ83))+(AQ84)</f>
        <v>0</v>
      </c>
      <c r="AR85" s="7">
        <f t="shared" si="46"/>
        <v>1289.28</v>
      </c>
      <c r="AS85" s="8" t="str">
        <f t="shared" si="47"/>
        <v/>
      </c>
      <c r="AT85" s="7">
        <f t="shared" si="48"/>
        <v>70405.08</v>
      </c>
      <c r="AU85" s="7">
        <f t="shared" si="49"/>
        <v>60150</v>
      </c>
      <c r="AV85" s="7">
        <f t="shared" si="50"/>
        <v>10255.080000000002</v>
      </c>
      <c r="AW85" s="8">
        <f t="shared" si="51"/>
        <v>1.170491770573566</v>
      </c>
    </row>
    <row r="86" spans="1:49" x14ac:dyDescent="0.25">
      <c r="A86" s="3" t="s">
        <v>95</v>
      </c>
      <c r="B86" s="4"/>
      <c r="C86" s="4"/>
      <c r="D86" s="5">
        <f t="shared" si="26"/>
        <v>0</v>
      </c>
      <c r="E86" s="6" t="str">
        <f t="shared" si="27"/>
        <v/>
      </c>
      <c r="F86" s="4"/>
      <c r="G86" s="4"/>
      <c r="H86" s="5">
        <f t="shared" si="28"/>
        <v>0</v>
      </c>
      <c r="I86" s="6" t="str">
        <f t="shared" si="29"/>
        <v/>
      </c>
      <c r="J86" s="4"/>
      <c r="K86" s="4"/>
      <c r="L86" s="5">
        <f t="shared" si="30"/>
        <v>0</v>
      </c>
      <c r="M86" s="6" t="str">
        <f t="shared" si="31"/>
        <v/>
      </c>
      <c r="N86" s="4"/>
      <c r="O86" s="4"/>
      <c r="P86" s="5">
        <f t="shared" si="32"/>
        <v>0</v>
      </c>
      <c r="Q86" s="6" t="str">
        <f t="shared" si="33"/>
        <v/>
      </c>
      <c r="R86" s="4"/>
      <c r="S86" s="4"/>
      <c r="T86" s="5">
        <f t="shared" si="34"/>
        <v>0</v>
      </c>
      <c r="U86" s="6" t="str">
        <f t="shared" si="35"/>
        <v/>
      </c>
      <c r="V86" s="4"/>
      <c r="W86" s="4"/>
      <c r="X86" s="5">
        <f t="shared" si="36"/>
        <v>0</v>
      </c>
      <c r="Y86" s="6" t="str">
        <f t="shared" si="37"/>
        <v/>
      </c>
      <c r="Z86" s="4"/>
      <c r="AA86" s="4"/>
      <c r="AB86" s="5">
        <f t="shared" si="38"/>
        <v>0</v>
      </c>
      <c r="AC86" s="6" t="str">
        <f t="shared" si="39"/>
        <v/>
      </c>
      <c r="AD86" s="4"/>
      <c r="AE86" s="4"/>
      <c r="AF86" s="5">
        <f t="shared" si="40"/>
        <v>0</v>
      </c>
      <c r="AG86" s="6" t="str">
        <f t="shared" si="41"/>
        <v/>
      </c>
      <c r="AH86" s="4"/>
      <c r="AI86" s="4"/>
      <c r="AJ86" s="5">
        <f t="shared" si="42"/>
        <v>0</v>
      </c>
      <c r="AK86" s="6" t="str">
        <f t="shared" si="43"/>
        <v/>
      </c>
      <c r="AL86" s="4"/>
      <c r="AM86" s="4"/>
      <c r="AN86" s="5">
        <f t="shared" si="44"/>
        <v>0</v>
      </c>
      <c r="AO86" s="6" t="str">
        <f t="shared" si="45"/>
        <v/>
      </c>
      <c r="AP86" s="4"/>
      <c r="AQ86" s="4"/>
      <c r="AR86" s="5">
        <f t="shared" si="46"/>
        <v>0</v>
      </c>
      <c r="AS86" s="6" t="str">
        <f t="shared" si="47"/>
        <v/>
      </c>
      <c r="AT86" s="5">
        <f t="shared" si="48"/>
        <v>0</v>
      </c>
      <c r="AU86" s="5">
        <f t="shared" si="49"/>
        <v>0</v>
      </c>
      <c r="AV86" s="5">
        <f t="shared" si="50"/>
        <v>0</v>
      </c>
      <c r="AW86" s="6" t="str">
        <f t="shared" si="51"/>
        <v/>
      </c>
    </row>
    <row r="87" spans="1:49" x14ac:dyDescent="0.25">
      <c r="A87" s="3" t="s">
        <v>96</v>
      </c>
      <c r="B87" s="4"/>
      <c r="C87" s="4"/>
      <c r="D87" s="5">
        <f t="shared" si="26"/>
        <v>0</v>
      </c>
      <c r="E87" s="6" t="str">
        <f t="shared" si="27"/>
        <v/>
      </c>
      <c r="F87" s="4"/>
      <c r="G87" s="4"/>
      <c r="H87" s="5">
        <f t="shared" si="28"/>
        <v>0</v>
      </c>
      <c r="I87" s="6" t="str">
        <f t="shared" si="29"/>
        <v/>
      </c>
      <c r="J87" s="5">
        <f>2275</f>
        <v>2275</v>
      </c>
      <c r="K87" s="4"/>
      <c r="L87" s="5">
        <f t="shared" si="30"/>
        <v>2275</v>
      </c>
      <c r="M87" s="6" t="str">
        <f t="shared" si="31"/>
        <v/>
      </c>
      <c r="N87" s="4"/>
      <c r="O87" s="4"/>
      <c r="P87" s="5">
        <f t="shared" si="32"/>
        <v>0</v>
      </c>
      <c r="Q87" s="6" t="str">
        <f t="shared" si="33"/>
        <v/>
      </c>
      <c r="R87" s="5">
        <f>2600</f>
        <v>2600</v>
      </c>
      <c r="S87" s="4"/>
      <c r="T87" s="5">
        <f t="shared" si="34"/>
        <v>2600</v>
      </c>
      <c r="U87" s="6" t="str">
        <f t="shared" si="35"/>
        <v/>
      </c>
      <c r="V87" s="5">
        <f>1300</f>
        <v>1300</v>
      </c>
      <c r="W87" s="4"/>
      <c r="X87" s="5">
        <f t="shared" si="36"/>
        <v>1300</v>
      </c>
      <c r="Y87" s="6" t="str">
        <f t="shared" si="37"/>
        <v/>
      </c>
      <c r="Z87" s="5">
        <f>1300</f>
        <v>1300</v>
      </c>
      <c r="AA87" s="4"/>
      <c r="AB87" s="5">
        <f t="shared" si="38"/>
        <v>1300</v>
      </c>
      <c r="AC87" s="6" t="str">
        <f t="shared" si="39"/>
        <v/>
      </c>
      <c r="AD87" s="5">
        <f>1300</f>
        <v>1300</v>
      </c>
      <c r="AE87" s="4"/>
      <c r="AF87" s="5">
        <f t="shared" si="40"/>
        <v>1300</v>
      </c>
      <c r="AG87" s="6" t="str">
        <f t="shared" si="41"/>
        <v/>
      </c>
      <c r="AH87" s="5">
        <f>1300</f>
        <v>1300</v>
      </c>
      <c r="AI87" s="4"/>
      <c r="AJ87" s="5">
        <f t="shared" si="42"/>
        <v>1300</v>
      </c>
      <c r="AK87" s="6" t="str">
        <f t="shared" si="43"/>
        <v/>
      </c>
      <c r="AL87" s="5">
        <f>1300</f>
        <v>1300</v>
      </c>
      <c r="AM87" s="4"/>
      <c r="AN87" s="5">
        <f t="shared" si="44"/>
        <v>1300</v>
      </c>
      <c r="AO87" s="6" t="str">
        <f t="shared" si="45"/>
        <v/>
      </c>
      <c r="AP87" s="5">
        <f>1300</f>
        <v>1300</v>
      </c>
      <c r="AQ87" s="4"/>
      <c r="AR87" s="5">
        <f t="shared" si="46"/>
        <v>1300</v>
      </c>
      <c r="AS87" s="6" t="str">
        <f t="shared" si="47"/>
        <v/>
      </c>
      <c r="AT87" s="5">
        <f t="shared" si="48"/>
        <v>12675</v>
      </c>
      <c r="AU87" s="5">
        <f t="shared" si="49"/>
        <v>0</v>
      </c>
      <c r="AV87" s="5">
        <f t="shared" si="50"/>
        <v>12675</v>
      </c>
      <c r="AW87" s="6" t="str">
        <f t="shared" si="51"/>
        <v/>
      </c>
    </row>
    <row r="88" spans="1:49" x14ac:dyDescent="0.25">
      <c r="A88" s="3" t="s">
        <v>97</v>
      </c>
      <c r="B88" s="4"/>
      <c r="C88" s="4"/>
      <c r="D88" s="5">
        <f t="shared" ref="D88:D119" si="52">(B88)-(C88)</f>
        <v>0</v>
      </c>
      <c r="E88" s="6" t="str">
        <f t="shared" ref="E88:E119" si="53">IF(C88=0,"",(B88)/(C88))</f>
        <v/>
      </c>
      <c r="F88" s="5">
        <f>163.33</f>
        <v>163.33000000000001</v>
      </c>
      <c r="G88" s="4"/>
      <c r="H88" s="5">
        <f t="shared" ref="H88:H119" si="54">(F88)-(G88)</f>
        <v>163.33000000000001</v>
      </c>
      <c r="I88" s="6" t="str">
        <f t="shared" ref="I88:I119" si="55">IF(G88=0,"",(F88)/(G88))</f>
        <v/>
      </c>
      <c r="J88" s="5">
        <f>93.67</f>
        <v>93.67</v>
      </c>
      <c r="K88" s="4"/>
      <c r="L88" s="5">
        <f t="shared" ref="L88:L119" si="56">(J88)-(K88)</f>
        <v>93.67</v>
      </c>
      <c r="M88" s="6" t="str">
        <f t="shared" ref="M88:M119" si="57">IF(K88=0,"",(J88)/(K88))</f>
        <v/>
      </c>
      <c r="N88" s="5">
        <f>317.17</f>
        <v>317.17</v>
      </c>
      <c r="O88" s="4"/>
      <c r="P88" s="5">
        <f t="shared" ref="P88:P119" si="58">(N88)-(O88)</f>
        <v>317.17</v>
      </c>
      <c r="Q88" s="6" t="str">
        <f t="shared" ref="Q88:Q119" si="59">IF(O88=0,"",(N88)/(O88))</f>
        <v/>
      </c>
      <c r="R88" s="4"/>
      <c r="S88" s="4"/>
      <c r="T88" s="5">
        <f t="shared" ref="T88:T119" si="60">(R88)-(S88)</f>
        <v>0</v>
      </c>
      <c r="U88" s="6" t="str">
        <f t="shared" ref="U88:U119" si="61">IF(S88=0,"",(R88)/(S88))</f>
        <v/>
      </c>
      <c r="V88" s="5">
        <f>369.55</f>
        <v>369.55</v>
      </c>
      <c r="W88" s="4"/>
      <c r="X88" s="5">
        <f t="shared" ref="X88:X119" si="62">(V88)-(W88)</f>
        <v>369.55</v>
      </c>
      <c r="Y88" s="6" t="str">
        <f t="shared" ref="Y88:Y119" si="63">IF(W88=0,"",(V88)/(W88))</f>
        <v/>
      </c>
      <c r="Z88" s="4"/>
      <c r="AA88" s="4"/>
      <c r="AB88" s="5">
        <f t="shared" ref="AB88:AB119" si="64">(Z88)-(AA88)</f>
        <v>0</v>
      </c>
      <c r="AC88" s="6" t="str">
        <f t="shared" ref="AC88:AC119" si="65">IF(AA88=0,"",(Z88)/(AA88))</f>
        <v/>
      </c>
      <c r="AD88" s="5">
        <f>9.22</f>
        <v>9.2200000000000006</v>
      </c>
      <c r="AE88" s="4"/>
      <c r="AF88" s="5">
        <f t="shared" ref="AF88:AF119" si="66">(AD88)-(AE88)</f>
        <v>9.2200000000000006</v>
      </c>
      <c r="AG88" s="6" t="str">
        <f t="shared" ref="AG88:AG119" si="67">IF(AE88=0,"",(AD88)/(AE88))</f>
        <v/>
      </c>
      <c r="AH88" s="5">
        <f>157.65</f>
        <v>157.65</v>
      </c>
      <c r="AI88" s="4"/>
      <c r="AJ88" s="5">
        <f t="shared" ref="AJ88:AJ119" si="68">(AH88)-(AI88)</f>
        <v>157.65</v>
      </c>
      <c r="AK88" s="6" t="str">
        <f t="shared" ref="AK88:AK119" si="69">IF(AI88=0,"",(AH88)/(AI88))</f>
        <v/>
      </c>
      <c r="AL88" s="5">
        <f>73.74</f>
        <v>73.739999999999995</v>
      </c>
      <c r="AM88" s="4"/>
      <c r="AN88" s="5">
        <f t="shared" ref="AN88:AN119" si="70">(AL88)-(AM88)</f>
        <v>73.739999999999995</v>
      </c>
      <c r="AO88" s="6" t="str">
        <f t="shared" ref="AO88:AO119" si="71">IF(AM88=0,"",(AL88)/(AM88))</f>
        <v/>
      </c>
      <c r="AP88" s="5">
        <f>288.54</f>
        <v>288.54000000000002</v>
      </c>
      <c r="AQ88" s="4"/>
      <c r="AR88" s="5">
        <f t="shared" ref="AR88:AR119" si="72">(AP88)-(AQ88)</f>
        <v>288.54000000000002</v>
      </c>
      <c r="AS88" s="6" t="str">
        <f t="shared" ref="AS88:AS119" si="73">IF(AQ88=0,"",(AP88)/(AQ88))</f>
        <v/>
      </c>
      <c r="AT88" s="5">
        <f t="shared" ref="AT88:AT119" si="74">((((((((((B88)+(F88))+(J88))+(N88))+(R88))+(V88))+(Z88))+(AD88))+(AH88))+(AL88))+(AP88)</f>
        <v>1472.8700000000001</v>
      </c>
      <c r="AU88" s="5">
        <f t="shared" ref="AU88:AU119" si="75">((((((((((C88)+(G88))+(K88))+(O88))+(S88))+(W88))+(AA88))+(AE88))+(AI88))+(AM88))+(AQ88)</f>
        <v>0</v>
      </c>
      <c r="AV88" s="5">
        <f t="shared" ref="AV88:AV119" si="76">(AT88)-(AU88)</f>
        <v>1472.8700000000001</v>
      </c>
      <c r="AW88" s="6" t="str">
        <f t="shared" ref="AW88:AW119" si="77">IF(AU88=0,"",(AT88)/(AU88))</f>
        <v/>
      </c>
    </row>
    <row r="89" spans="1:49" x14ac:dyDescent="0.25">
      <c r="A89" s="3" t="s">
        <v>98</v>
      </c>
      <c r="B89" s="4"/>
      <c r="C89" s="5">
        <f>5000</f>
        <v>5000</v>
      </c>
      <c r="D89" s="5">
        <f t="shared" si="52"/>
        <v>-5000</v>
      </c>
      <c r="E89" s="6">
        <f t="shared" si="53"/>
        <v>0</v>
      </c>
      <c r="F89" s="5">
        <f>139.05</f>
        <v>139.05000000000001</v>
      </c>
      <c r="G89" s="5">
        <f>0</f>
        <v>0</v>
      </c>
      <c r="H89" s="5">
        <f t="shared" si="54"/>
        <v>139.05000000000001</v>
      </c>
      <c r="I89" s="6" t="str">
        <f t="shared" si="55"/>
        <v/>
      </c>
      <c r="J89" s="4"/>
      <c r="K89" s="5">
        <f>0</f>
        <v>0</v>
      </c>
      <c r="L89" s="5">
        <f t="shared" si="56"/>
        <v>0</v>
      </c>
      <c r="M89" s="6" t="str">
        <f t="shared" si="57"/>
        <v/>
      </c>
      <c r="N89" s="5">
        <f>2466.42</f>
        <v>2466.42</v>
      </c>
      <c r="O89" s="5">
        <f>0</f>
        <v>0</v>
      </c>
      <c r="P89" s="5">
        <f t="shared" si="58"/>
        <v>2466.42</v>
      </c>
      <c r="Q89" s="6" t="str">
        <f t="shared" si="59"/>
        <v/>
      </c>
      <c r="R89" s="5">
        <f>114</f>
        <v>114</v>
      </c>
      <c r="S89" s="5">
        <f>0</f>
        <v>0</v>
      </c>
      <c r="T89" s="5">
        <f t="shared" si="60"/>
        <v>114</v>
      </c>
      <c r="U89" s="6" t="str">
        <f t="shared" si="61"/>
        <v/>
      </c>
      <c r="V89" s="4"/>
      <c r="W89" s="5">
        <f>0</f>
        <v>0</v>
      </c>
      <c r="X89" s="5">
        <f t="shared" si="62"/>
        <v>0</v>
      </c>
      <c r="Y89" s="6" t="str">
        <f t="shared" si="63"/>
        <v/>
      </c>
      <c r="Z89" s="5">
        <f>114</f>
        <v>114</v>
      </c>
      <c r="AA89" s="5">
        <f>0</f>
        <v>0</v>
      </c>
      <c r="AB89" s="5">
        <f t="shared" si="64"/>
        <v>114</v>
      </c>
      <c r="AC89" s="6" t="str">
        <f t="shared" si="65"/>
        <v/>
      </c>
      <c r="AD89" s="5">
        <f>898</f>
        <v>898</v>
      </c>
      <c r="AE89" s="5">
        <f>0</f>
        <v>0</v>
      </c>
      <c r="AF89" s="5">
        <f t="shared" si="66"/>
        <v>898</v>
      </c>
      <c r="AG89" s="6" t="str">
        <f t="shared" si="67"/>
        <v/>
      </c>
      <c r="AH89" s="5">
        <f>732.81</f>
        <v>732.81</v>
      </c>
      <c r="AI89" s="5">
        <f>0</f>
        <v>0</v>
      </c>
      <c r="AJ89" s="5">
        <f t="shared" si="68"/>
        <v>732.81</v>
      </c>
      <c r="AK89" s="6" t="str">
        <f t="shared" si="69"/>
        <v/>
      </c>
      <c r="AL89" s="4"/>
      <c r="AM89" s="5">
        <f>0</f>
        <v>0</v>
      </c>
      <c r="AN89" s="5">
        <f t="shared" si="70"/>
        <v>0</v>
      </c>
      <c r="AO89" s="6" t="str">
        <f t="shared" si="71"/>
        <v/>
      </c>
      <c r="AP89" s="5">
        <f>180.03</f>
        <v>180.03</v>
      </c>
      <c r="AQ89" s="5">
        <f>0</f>
        <v>0</v>
      </c>
      <c r="AR89" s="5">
        <f t="shared" si="72"/>
        <v>180.03</v>
      </c>
      <c r="AS89" s="6" t="str">
        <f t="shared" si="73"/>
        <v/>
      </c>
      <c r="AT89" s="5">
        <f t="shared" si="74"/>
        <v>4644.3100000000004</v>
      </c>
      <c r="AU89" s="5">
        <f t="shared" si="75"/>
        <v>5000</v>
      </c>
      <c r="AV89" s="5">
        <f t="shared" si="76"/>
        <v>-355.6899999999996</v>
      </c>
      <c r="AW89" s="6">
        <f t="shared" si="77"/>
        <v>0.92886200000000008</v>
      </c>
    </row>
    <row r="90" spans="1:49" x14ac:dyDescent="0.25">
      <c r="A90" s="3" t="s">
        <v>99</v>
      </c>
      <c r="B90" s="4"/>
      <c r="C90" s="4"/>
      <c r="D90" s="5">
        <f t="shared" si="52"/>
        <v>0</v>
      </c>
      <c r="E90" s="6" t="str">
        <f t="shared" si="53"/>
        <v/>
      </c>
      <c r="F90" s="4"/>
      <c r="G90" s="4"/>
      <c r="H90" s="5">
        <f t="shared" si="54"/>
        <v>0</v>
      </c>
      <c r="I90" s="6" t="str">
        <f t="shared" si="55"/>
        <v/>
      </c>
      <c r="J90" s="4"/>
      <c r="K90" s="4"/>
      <c r="L90" s="5">
        <f t="shared" si="56"/>
        <v>0</v>
      </c>
      <c r="M90" s="6" t="str">
        <f t="shared" si="57"/>
        <v/>
      </c>
      <c r="N90" s="4"/>
      <c r="O90" s="4"/>
      <c r="P90" s="5">
        <f t="shared" si="58"/>
        <v>0</v>
      </c>
      <c r="Q90" s="6" t="str">
        <f t="shared" si="59"/>
        <v/>
      </c>
      <c r="R90" s="5">
        <f>100</f>
        <v>100</v>
      </c>
      <c r="S90" s="4"/>
      <c r="T90" s="5">
        <f t="shared" si="60"/>
        <v>100</v>
      </c>
      <c r="U90" s="6" t="str">
        <f t="shared" si="61"/>
        <v/>
      </c>
      <c r="V90" s="4"/>
      <c r="W90" s="4"/>
      <c r="X90" s="5">
        <f t="shared" si="62"/>
        <v>0</v>
      </c>
      <c r="Y90" s="6" t="str">
        <f t="shared" si="63"/>
        <v/>
      </c>
      <c r="Z90" s="4"/>
      <c r="AA90" s="4"/>
      <c r="AB90" s="5">
        <f t="shared" si="64"/>
        <v>0</v>
      </c>
      <c r="AC90" s="6" t="str">
        <f t="shared" si="65"/>
        <v/>
      </c>
      <c r="AD90" s="4"/>
      <c r="AE90" s="4"/>
      <c r="AF90" s="5">
        <f t="shared" si="66"/>
        <v>0</v>
      </c>
      <c r="AG90" s="6" t="str">
        <f t="shared" si="67"/>
        <v/>
      </c>
      <c r="AH90" s="4"/>
      <c r="AI90" s="4"/>
      <c r="AJ90" s="5">
        <f t="shared" si="68"/>
        <v>0</v>
      </c>
      <c r="AK90" s="6" t="str">
        <f t="shared" si="69"/>
        <v/>
      </c>
      <c r="AL90" s="4"/>
      <c r="AM90" s="4"/>
      <c r="AN90" s="5">
        <f t="shared" si="70"/>
        <v>0</v>
      </c>
      <c r="AO90" s="6" t="str">
        <f t="shared" si="71"/>
        <v/>
      </c>
      <c r="AP90" s="4"/>
      <c r="AQ90" s="4"/>
      <c r="AR90" s="5">
        <f t="shared" si="72"/>
        <v>0</v>
      </c>
      <c r="AS90" s="6" t="str">
        <f t="shared" si="73"/>
        <v/>
      </c>
      <c r="AT90" s="5">
        <f t="shared" si="74"/>
        <v>100</v>
      </c>
      <c r="AU90" s="5">
        <f t="shared" si="75"/>
        <v>0</v>
      </c>
      <c r="AV90" s="5">
        <f t="shared" si="76"/>
        <v>100</v>
      </c>
      <c r="AW90" s="6" t="str">
        <f t="shared" si="77"/>
        <v/>
      </c>
    </row>
    <row r="91" spans="1:49" x14ac:dyDescent="0.25">
      <c r="A91" s="3" t="s">
        <v>100</v>
      </c>
      <c r="B91" s="4"/>
      <c r="C91" s="4"/>
      <c r="D91" s="5">
        <f t="shared" si="52"/>
        <v>0</v>
      </c>
      <c r="E91" s="6" t="str">
        <f t="shared" si="53"/>
        <v/>
      </c>
      <c r="F91" s="4"/>
      <c r="G91" s="4"/>
      <c r="H91" s="5">
        <f t="shared" si="54"/>
        <v>0</v>
      </c>
      <c r="I91" s="6" t="str">
        <f t="shared" si="55"/>
        <v/>
      </c>
      <c r="J91" s="4"/>
      <c r="K91" s="4"/>
      <c r="L91" s="5">
        <f t="shared" si="56"/>
        <v>0</v>
      </c>
      <c r="M91" s="6" t="str">
        <f t="shared" si="57"/>
        <v/>
      </c>
      <c r="N91" s="4"/>
      <c r="O91" s="4"/>
      <c r="P91" s="5">
        <f t="shared" si="58"/>
        <v>0</v>
      </c>
      <c r="Q91" s="6" t="str">
        <f t="shared" si="59"/>
        <v/>
      </c>
      <c r="R91" s="4"/>
      <c r="S91" s="4"/>
      <c r="T91" s="5">
        <f t="shared" si="60"/>
        <v>0</v>
      </c>
      <c r="U91" s="6" t="str">
        <f t="shared" si="61"/>
        <v/>
      </c>
      <c r="V91" s="5">
        <f>9.61</f>
        <v>9.61</v>
      </c>
      <c r="W91" s="4"/>
      <c r="X91" s="5">
        <f t="shared" si="62"/>
        <v>9.61</v>
      </c>
      <c r="Y91" s="6" t="str">
        <f t="shared" si="63"/>
        <v/>
      </c>
      <c r="Z91" s="4"/>
      <c r="AA91" s="4"/>
      <c r="AB91" s="5">
        <f t="shared" si="64"/>
        <v>0</v>
      </c>
      <c r="AC91" s="6" t="str">
        <f t="shared" si="65"/>
        <v/>
      </c>
      <c r="AD91" s="4"/>
      <c r="AE91" s="4"/>
      <c r="AF91" s="5">
        <f t="shared" si="66"/>
        <v>0</v>
      </c>
      <c r="AG91" s="6" t="str">
        <f t="shared" si="67"/>
        <v/>
      </c>
      <c r="AH91" s="4"/>
      <c r="AI91" s="4"/>
      <c r="AJ91" s="5">
        <f t="shared" si="68"/>
        <v>0</v>
      </c>
      <c r="AK91" s="6" t="str">
        <f t="shared" si="69"/>
        <v/>
      </c>
      <c r="AL91" s="4"/>
      <c r="AM91" s="4"/>
      <c r="AN91" s="5">
        <f t="shared" si="70"/>
        <v>0</v>
      </c>
      <c r="AO91" s="6" t="str">
        <f t="shared" si="71"/>
        <v/>
      </c>
      <c r="AP91" s="5">
        <f>13.97</f>
        <v>13.97</v>
      </c>
      <c r="AQ91" s="4"/>
      <c r="AR91" s="5">
        <f t="shared" si="72"/>
        <v>13.97</v>
      </c>
      <c r="AS91" s="6" t="str">
        <f t="shared" si="73"/>
        <v/>
      </c>
      <c r="AT91" s="5">
        <f t="shared" si="74"/>
        <v>23.58</v>
      </c>
      <c r="AU91" s="5">
        <f t="shared" si="75"/>
        <v>0</v>
      </c>
      <c r="AV91" s="5">
        <f t="shared" si="76"/>
        <v>23.58</v>
      </c>
      <c r="AW91" s="6" t="str">
        <f t="shared" si="77"/>
        <v/>
      </c>
    </row>
    <row r="92" spans="1:49" x14ac:dyDescent="0.25">
      <c r="A92" s="3" t="s">
        <v>101</v>
      </c>
      <c r="B92" s="7">
        <f>((B89)+(B90))+(B91)</f>
        <v>0</v>
      </c>
      <c r="C92" s="7">
        <f>((C89)+(C90))+(C91)</f>
        <v>5000</v>
      </c>
      <c r="D92" s="7">
        <f t="shared" si="52"/>
        <v>-5000</v>
      </c>
      <c r="E92" s="8">
        <f t="shared" si="53"/>
        <v>0</v>
      </c>
      <c r="F92" s="7">
        <f>((F89)+(F90))+(F91)</f>
        <v>139.05000000000001</v>
      </c>
      <c r="G92" s="7">
        <f>((G89)+(G90))+(G91)</f>
        <v>0</v>
      </c>
      <c r="H92" s="7">
        <f t="shared" si="54"/>
        <v>139.05000000000001</v>
      </c>
      <c r="I92" s="8" t="str">
        <f t="shared" si="55"/>
        <v/>
      </c>
      <c r="J92" s="7">
        <f>((J89)+(J90))+(J91)</f>
        <v>0</v>
      </c>
      <c r="K92" s="7">
        <f>((K89)+(K90))+(K91)</f>
        <v>0</v>
      </c>
      <c r="L92" s="7">
        <f t="shared" si="56"/>
        <v>0</v>
      </c>
      <c r="M92" s="8" t="str">
        <f t="shared" si="57"/>
        <v/>
      </c>
      <c r="N92" s="7">
        <f>((N89)+(N90))+(N91)</f>
        <v>2466.42</v>
      </c>
      <c r="O92" s="7">
        <f>((O89)+(O90))+(O91)</f>
        <v>0</v>
      </c>
      <c r="P92" s="7">
        <f t="shared" si="58"/>
        <v>2466.42</v>
      </c>
      <c r="Q92" s="8" t="str">
        <f t="shared" si="59"/>
        <v/>
      </c>
      <c r="R92" s="7">
        <f>((R89)+(R90))+(R91)</f>
        <v>214</v>
      </c>
      <c r="S92" s="7">
        <f>((S89)+(S90))+(S91)</f>
        <v>0</v>
      </c>
      <c r="T92" s="7">
        <f t="shared" si="60"/>
        <v>214</v>
      </c>
      <c r="U92" s="8" t="str">
        <f t="shared" si="61"/>
        <v/>
      </c>
      <c r="V92" s="7">
        <f>((V89)+(V90))+(V91)</f>
        <v>9.61</v>
      </c>
      <c r="W92" s="7">
        <f>((W89)+(W90))+(W91)</f>
        <v>0</v>
      </c>
      <c r="X92" s="7">
        <f t="shared" si="62"/>
        <v>9.61</v>
      </c>
      <c r="Y92" s="8" t="str">
        <f t="shared" si="63"/>
        <v/>
      </c>
      <c r="Z92" s="7">
        <f>((Z89)+(Z90))+(Z91)</f>
        <v>114</v>
      </c>
      <c r="AA92" s="7">
        <f>((AA89)+(AA90))+(AA91)</f>
        <v>0</v>
      </c>
      <c r="AB92" s="7">
        <f t="shared" si="64"/>
        <v>114</v>
      </c>
      <c r="AC92" s="8" t="str">
        <f t="shared" si="65"/>
        <v/>
      </c>
      <c r="AD92" s="7">
        <f>((AD89)+(AD90))+(AD91)</f>
        <v>898</v>
      </c>
      <c r="AE92" s="7">
        <f>((AE89)+(AE90))+(AE91)</f>
        <v>0</v>
      </c>
      <c r="AF92" s="7">
        <f t="shared" si="66"/>
        <v>898</v>
      </c>
      <c r="AG92" s="8" t="str">
        <f t="shared" si="67"/>
        <v/>
      </c>
      <c r="AH92" s="7">
        <f>((AH89)+(AH90))+(AH91)</f>
        <v>732.81</v>
      </c>
      <c r="AI92" s="7">
        <f>((AI89)+(AI90))+(AI91)</f>
        <v>0</v>
      </c>
      <c r="AJ92" s="7">
        <f t="shared" si="68"/>
        <v>732.81</v>
      </c>
      <c r="AK92" s="8" t="str">
        <f t="shared" si="69"/>
        <v/>
      </c>
      <c r="AL92" s="7">
        <f>((AL89)+(AL90))+(AL91)</f>
        <v>0</v>
      </c>
      <c r="AM92" s="7">
        <f>((AM89)+(AM90))+(AM91)</f>
        <v>0</v>
      </c>
      <c r="AN92" s="7">
        <f t="shared" si="70"/>
        <v>0</v>
      </c>
      <c r="AO92" s="8" t="str">
        <f t="shared" si="71"/>
        <v/>
      </c>
      <c r="AP92" s="7">
        <f>((AP89)+(AP90))+(AP91)</f>
        <v>194</v>
      </c>
      <c r="AQ92" s="7">
        <f>((AQ89)+(AQ90))+(AQ91)</f>
        <v>0</v>
      </c>
      <c r="AR92" s="7">
        <f t="shared" si="72"/>
        <v>194</v>
      </c>
      <c r="AS92" s="8" t="str">
        <f t="shared" si="73"/>
        <v/>
      </c>
      <c r="AT92" s="7">
        <f t="shared" si="74"/>
        <v>4767.8900000000003</v>
      </c>
      <c r="AU92" s="7">
        <f t="shared" si="75"/>
        <v>5000</v>
      </c>
      <c r="AV92" s="7">
        <f t="shared" si="76"/>
        <v>-232.10999999999967</v>
      </c>
      <c r="AW92" s="8">
        <f t="shared" si="77"/>
        <v>0.95357800000000004</v>
      </c>
    </row>
    <row r="93" spans="1:49" x14ac:dyDescent="0.25">
      <c r="A93" s="3" t="s">
        <v>102</v>
      </c>
      <c r="B93" s="5">
        <f>160.98</f>
        <v>160.97999999999999</v>
      </c>
      <c r="C93" s="5">
        <f>1500</f>
        <v>1500</v>
      </c>
      <c r="D93" s="5">
        <f t="shared" si="52"/>
        <v>-1339.02</v>
      </c>
      <c r="E93" s="6">
        <f t="shared" si="53"/>
        <v>0.10732</v>
      </c>
      <c r="F93" s="5">
        <f>11.43</f>
        <v>11.43</v>
      </c>
      <c r="G93" s="5">
        <f>0</f>
        <v>0</v>
      </c>
      <c r="H93" s="5">
        <f t="shared" si="54"/>
        <v>11.43</v>
      </c>
      <c r="I93" s="6" t="str">
        <f t="shared" si="55"/>
        <v/>
      </c>
      <c r="J93" s="4"/>
      <c r="K93" s="5">
        <f>0</f>
        <v>0</v>
      </c>
      <c r="L93" s="5">
        <f t="shared" si="56"/>
        <v>0</v>
      </c>
      <c r="M93" s="6" t="str">
        <f t="shared" si="57"/>
        <v/>
      </c>
      <c r="N93" s="4"/>
      <c r="O93" s="5">
        <f>0</f>
        <v>0</v>
      </c>
      <c r="P93" s="5">
        <f t="shared" si="58"/>
        <v>0</v>
      </c>
      <c r="Q93" s="6" t="str">
        <f t="shared" si="59"/>
        <v/>
      </c>
      <c r="R93" s="4"/>
      <c r="S93" s="5">
        <f>0</f>
        <v>0</v>
      </c>
      <c r="T93" s="5">
        <f t="shared" si="60"/>
        <v>0</v>
      </c>
      <c r="U93" s="6" t="str">
        <f t="shared" si="61"/>
        <v/>
      </c>
      <c r="V93" s="4"/>
      <c r="W93" s="5">
        <f>0</f>
        <v>0</v>
      </c>
      <c r="X93" s="5">
        <f t="shared" si="62"/>
        <v>0</v>
      </c>
      <c r="Y93" s="6" t="str">
        <f t="shared" si="63"/>
        <v/>
      </c>
      <c r="Z93" s="4"/>
      <c r="AA93" s="5">
        <f>0</f>
        <v>0</v>
      </c>
      <c r="AB93" s="5">
        <f t="shared" si="64"/>
        <v>0</v>
      </c>
      <c r="AC93" s="6" t="str">
        <f t="shared" si="65"/>
        <v/>
      </c>
      <c r="AD93" s="4"/>
      <c r="AE93" s="5">
        <f>0</f>
        <v>0</v>
      </c>
      <c r="AF93" s="5">
        <f t="shared" si="66"/>
        <v>0</v>
      </c>
      <c r="AG93" s="6" t="str">
        <f t="shared" si="67"/>
        <v/>
      </c>
      <c r="AH93" s="4"/>
      <c r="AI93" s="5">
        <f>0</f>
        <v>0</v>
      </c>
      <c r="AJ93" s="5">
        <f t="shared" si="68"/>
        <v>0</v>
      </c>
      <c r="AK93" s="6" t="str">
        <f t="shared" si="69"/>
        <v/>
      </c>
      <c r="AL93" s="4"/>
      <c r="AM93" s="5">
        <f>0</f>
        <v>0</v>
      </c>
      <c r="AN93" s="5">
        <f t="shared" si="70"/>
        <v>0</v>
      </c>
      <c r="AO93" s="6" t="str">
        <f t="shared" si="71"/>
        <v/>
      </c>
      <c r="AP93" s="5">
        <f>8.34</f>
        <v>8.34</v>
      </c>
      <c r="AQ93" s="5">
        <f>0</f>
        <v>0</v>
      </c>
      <c r="AR93" s="5">
        <f t="shared" si="72"/>
        <v>8.34</v>
      </c>
      <c r="AS93" s="6" t="str">
        <f t="shared" si="73"/>
        <v/>
      </c>
      <c r="AT93" s="5">
        <f t="shared" si="74"/>
        <v>180.75</v>
      </c>
      <c r="AU93" s="5">
        <f t="shared" si="75"/>
        <v>1500</v>
      </c>
      <c r="AV93" s="5">
        <f t="shared" si="76"/>
        <v>-1319.25</v>
      </c>
      <c r="AW93" s="6">
        <f t="shared" si="77"/>
        <v>0.1205</v>
      </c>
    </row>
    <row r="94" spans="1:49" x14ac:dyDescent="0.25">
      <c r="A94" s="3" t="s">
        <v>103</v>
      </c>
      <c r="B94" s="4"/>
      <c r="C94" s="5">
        <f>0</f>
        <v>0</v>
      </c>
      <c r="D94" s="5">
        <f t="shared" si="52"/>
        <v>0</v>
      </c>
      <c r="E94" s="6" t="str">
        <f t="shared" si="53"/>
        <v/>
      </c>
      <c r="F94" s="4"/>
      <c r="G94" s="5">
        <f>0</f>
        <v>0</v>
      </c>
      <c r="H94" s="5">
        <f t="shared" si="54"/>
        <v>0</v>
      </c>
      <c r="I94" s="6" t="str">
        <f t="shared" si="55"/>
        <v/>
      </c>
      <c r="J94" s="4"/>
      <c r="K94" s="5">
        <f>0</f>
        <v>0</v>
      </c>
      <c r="L94" s="5">
        <f t="shared" si="56"/>
        <v>0</v>
      </c>
      <c r="M94" s="6" t="str">
        <f t="shared" si="57"/>
        <v/>
      </c>
      <c r="N94" s="4"/>
      <c r="O94" s="5">
        <f>0</f>
        <v>0</v>
      </c>
      <c r="P94" s="5">
        <f t="shared" si="58"/>
        <v>0</v>
      </c>
      <c r="Q94" s="6" t="str">
        <f t="shared" si="59"/>
        <v/>
      </c>
      <c r="R94" s="4"/>
      <c r="S94" s="5">
        <f>0</f>
        <v>0</v>
      </c>
      <c r="T94" s="5">
        <f t="shared" si="60"/>
        <v>0</v>
      </c>
      <c r="U94" s="6" t="str">
        <f t="shared" si="61"/>
        <v/>
      </c>
      <c r="V94" s="4"/>
      <c r="W94" s="5">
        <f>0</f>
        <v>0</v>
      </c>
      <c r="X94" s="5">
        <f t="shared" si="62"/>
        <v>0</v>
      </c>
      <c r="Y94" s="6" t="str">
        <f t="shared" si="63"/>
        <v/>
      </c>
      <c r="Z94" s="4"/>
      <c r="AA94" s="5">
        <f>0</f>
        <v>0</v>
      </c>
      <c r="AB94" s="5">
        <f t="shared" si="64"/>
        <v>0</v>
      </c>
      <c r="AC94" s="6" t="str">
        <f t="shared" si="65"/>
        <v/>
      </c>
      <c r="AD94" s="4"/>
      <c r="AE94" s="5">
        <f>0</f>
        <v>0</v>
      </c>
      <c r="AF94" s="5">
        <f t="shared" si="66"/>
        <v>0</v>
      </c>
      <c r="AG94" s="6" t="str">
        <f t="shared" si="67"/>
        <v/>
      </c>
      <c r="AH94" s="4"/>
      <c r="AI94" s="5">
        <f>0</f>
        <v>0</v>
      </c>
      <c r="AJ94" s="5">
        <f t="shared" si="68"/>
        <v>0</v>
      </c>
      <c r="AK94" s="6" t="str">
        <f t="shared" si="69"/>
        <v/>
      </c>
      <c r="AL94" s="4"/>
      <c r="AM94" s="5">
        <f>0</f>
        <v>0</v>
      </c>
      <c r="AN94" s="5">
        <f t="shared" si="70"/>
        <v>0</v>
      </c>
      <c r="AO94" s="6" t="str">
        <f t="shared" si="71"/>
        <v/>
      </c>
      <c r="AP94" s="4"/>
      <c r="AQ94" s="5">
        <f>0</f>
        <v>0</v>
      </c>
      <c r="AR94" s="5">
        <f t="shared" si="72"/>
        <v>0</v>
      </c>
      <c r="AS94" s="6" t="str">
        <f t="shared" si="73"/>
        <v/>
      </c>
      <c r="AT94" s="5">
        <f t="shared" si="74"/>
        <v>0</v>
      </c>
      <c r="AU94" s="5">
        <f t="shared" si="75"/>
        <v>0</v>
      </c>
      <c r="AV94" s="5">
        <f t="shared" si="76"/>
        <v>0</v>
      </c>
      <c r="AW94" s="6" t="str">
        <f t="shared" si="77"/>
        <v/>
      </c>
    </row>
    <row r="95" spans="1:49" x14ac:dyDescent="0.25">
      <c r="A95" s="3" t="s">
        <v>104</v>
      </c>
      <c r="B95" s="5">
        <f>70</f>
        <v>70</v>
      </c>
      <c r="C95" s="5">
        <f>500</f>
        <v>500</v>
      </c>
      <c r="D95" s="5">
        <f t="shared" si="52"/>
        <v>-430</v>
      </c>
      <c r="E95" s="6">
        <f t="shared" si="53"/>
        <v>0.14000000000000001</v>
      </c>
      <c r="F95" s="5">
        <f>140</f>
        <v>140</v>
      </c>
      <c r="G95" s="5">
        <f>0</f>
        <v>0</v>
      </c>
      <c r="H95" s="5">
        <f t="shared" si="54"/>
        <v>140</v>
      </c>
      <c r="I95" s="6" t="str">
        <f t="shared" si="55"/>
        <v/>
      </c>
      <c r="J95" s="4"/>
      <c r="K95" s="5">
        <f>0</f>
        <v>0</v>
      </c>
      <c r="L95" s="5">
        <f t="shared" si="56"/>
        <v>0</v>
      </c>
      <c r="M95" s="6" t="str">
        <f t="shared" si="57"/>
        <v/>
      </c>
      <c r="N95" s="4"/>
      <c r="O95" s="5">
        <f>0</f>
        <v>0</v>
      </c>
      <c r="P95" s="5">
        <f t="shared" si="58"/>
        <v>0</v>
      </c>
      <c r="Q95" s="6" t="str">
        <f t="shared" si="59"/>
        <v/>
      </c>
      <c r="R95" s="4"/>
      <c r="S95" s="5">
        <f>0</f>
        <v>0</v>
      </c>
      <c r="T95" s="5">
        <f t="shared" si="60"/>
        <v>0</v>
      </c>
      <c r="U95" s="6" t="str">
        <f t="shared" si="61"/>
        <v/>
      </c>
      <c r="V95" s="4"/>
      <c r="W95" s="5">
        <f>0</f>
        <v>0</v>
      </c>
      <c r="X95" s="5">
        <f t="shared" si="62"/>
        <v>0</v>
      </c>
      <c r="Y95" s="6" t="str">
        <f t="shared" si="63"/>
        <v/>
      </c>
      <c r="Z95" s="4"/>
      <c r="AA95" s="5">
        <f>0</f>
        <v>0</v>
      </c>
      <c r="AB95" s="5">
        <f t="shared" si="64"/>
        <v>0</v>
      </c>
      <c r="AC95" s="6" t="str">
        <f t="shared" si="65"/>
        <v/>
      </c>
      <c r="AD95" s="4"/>
      <c r="AE95" s="5">
        <f>0</f>
        <v>0</v>
      </c>
      <c r="AF95" s="5">
        <f t="shared" si="66"/>
        <v>0</v>
      </c>
      <c r="AG95" s="6" t="str">
        <f t="shared" si="67"/>
        <v/>
      </c>
      <c r="AH95" s="4"/>
      <c r="AI95" s="5">
        <f>0</f>
        <v>0</v>
      </c>
      <c r="AJ95" s="5">
        <f t="shared" si="68"/>
        <v>0</v>
      </c>
      <c r="AK95" s="6" t="str">
        <f t="shared" si="69"/>
        <v/>
      </c>
      <c r="AL95" s="4"/>
      <c r="AM95" s="5">
        <f>0</f>
        <v>0</v>
      </c>
      <c r="AN95" s="5">
        <f t="shared" si="70"/>
        <v>0</v>
      </c>
      <c r="AO95" s="6" t="str">
        <f t="shared" si="71"/>
        <v/>
      </c>
      <c r="AP95" s="4"/>
      <c r="AQ95" s="5">
        <f>0</f>
        <v>0</v>
      </c>
      <c r="AR95" s="5">
        <f t="shared" si="72"/>
        <v>0</v>
      </c>
      <c r="AS95" s="6" t="str">
        <f t="shared" si="73"/>
        <v/>
      </c>
      <c r="AT95" s="5">
        <f t="shared" si="74"/>
        <v>210</v>
      </c>
      <c r="AU95" s="5">
        <f t="shared" si="75"/>
        <v>500</v>
      </c>
      <c r="AV95" s="5">
        <f t="shared" si="76"/>
        <v>-290</v>
      </c>
      <c r="AW95" s="6">
        <f t="shared" si="77"/>
        <v>0.42</v>
      </c>
    </row>
    <row r="96" spans="1:49" x14ac:dyDescent="0.25">
      <c r="A96" s="3" t="s">
        <v>105</v>
      </c>
      <c r="B96" s="7">
        <f>((((B88)+(B92))+(B93))+(B94))+(B95)</f>
        <v>230.98</v>
      </c>
      <c r="C96" s="7">
        <f>((((C88)+(C92))+(C93))+(C94))+(C95)</f>
        <v>7000</v>
      </c>
      <c r="D96" s="7">
        <f t="shared" si="52"/>
        <v>-6769.02</v>
      </c>
      <c r="E96" s="8">
        <f t="shared" si="53"/>
        <v>3.2997142857142857E-2</v>
      </c>
      <c r="F96" s="7">
        <f>((((F88)+(F92))+(F93))+(F94))+(F95)</f>
        <v>453.81</v>
      </c>
      <c r="G96" s="7">
        <f>((((G88)+(G92))+(G93))+(G94))+(G95)</f>
        <v>0</v>
      </c>
      <c r="H96" s="7">
        <f t="shared" si="54"/>
        <v>453.81</v>
      </c>
      <c r="I96" s="8" t="str">
        <f t="shared" si="55"/>
        <v/>
      </c>
      <c r="J96" s="7">
        <f>((((J88)+(J92))+(J93))+(J94))+(J95)</f>
        <v>93.67</v>
      </c>
      <c r="K96" s="7">
        <f>((((K88)+(K92))+(K93))+(K94))+(K95)</f>
        <v>0</v>
      </c>
      <c r="L96" s="7">
        <f t="shared" si="56"/>
        <v>93.67</v>
      </c>
      <c r="M96" s="8" t="str">
        <f t="shared" si="57"/>
        <v/>
      </c>
      <c r="N96" s="7">
        <f>((((N88)+(N92))+(N93))+(N94))+(N95)</f>
        <v>2783.59</v>
      </c>
      <c r="O96" s="7">
        <f>((((O88)+(O92))+(O93))+(O94))+(O95)</f>
        <v>0</v>
      </c>
      <c r="P96" s="7">
        <f t="shared" si="58"/>
        <v>2783.59</v>
      </c>
      <c r="Q96" s="8" t="str">
        <f t="shared" si="59"/>
        <v/>
      </c>
      <c r="R96" s="7">
        <f>((((R88)+(R92))+(R93))+(R94))+(R95)</f>
        <v>214</v>
      </c>
      <c r="S96" s="7">
        <f>((((S88)+(S92))+(S93))+(S94))+(S95)</f>
        <v>0</v>
      </c>
      <c r="T96" s="7">
        <f t="shared" si="60"/>
        <v>214</v>
      </c>
      <c r="U96" s="8" t="str">
        <f t="shared" si="61"/>
        <v/>
      </c>
      <c r="V96" s="7">
        <f>((((V88)+(V92))+(V93))+(V94))+(V95)</f>
        <v>379.16</v>
      </c>
      <c r="W96" s="7">
        <f>((((W88)+(W92))+(W93))+(W94))+(W95)</f>
        <v>0</v>
      </c>
      <c r="X96" s="7">
        <f t="shared" si="62"/>
        <v>379.16</v>
      </c>
      <c r="Y96" s="8" t="str">
        <f t="shared" si="63"/>
        <v/>
      </c>
      <c r="Z96" s="7">
        <f>((((Z88)+(Z92))+(Z93))+(Z94))+(Z95)</f>
        <v>114</v>
      </c>
      <c r="AA96" s="7">
        <f>((((AA88)+(AA92))+(AA93))+(AA94))+(AA95)</f>
        <v>0</v>
      </c>
      <c r="AB96" s="7">
        <f t="shared" si="64"/>
        <v>114</v>
      </c>
      <c r="AC96" s="8" t="str">
        <f t="shared" si="65"/>
        <v/>
      </c>
      <c r="AD96" s="7">
        <f>((((AD88)+(AD92))+(AD93))+(AD94))+(AD95)</f>
        <v>907.22</v>
      </c>
      <c r="AE96" s="7">
        <f>((((AE88)+(AE92))+(AE93))+(AE94))+(AE95)</f>
        <v>0</v>
      </c>
      <c r="AF96" s="7">
        <f t="shared" si="66"/>
        <v>907.22</v>
      </c>
      <c r="AG96" s="8" t="str">
        <f t="shared" si="67"/>
        <v/>
      </c>
      <c r="AH96" s="7">
        <f>((((AH88)+(AH92))+(AH93))+(AH94))+(AH95)</f>
        <v>890.45999999999992</v>
      </c>
      <c r="AI96" s="7">
        <f>((((AI88)+(AI92))+(AI93))+(AI94))+(AI95)</f>
        <v>0</v>
      </c>
      <c r="AJ96" s="7">
        <f t="shared" si="68"/>
        <v>890.45999999999992</v>
      </c>
      <c r="AK96" s="8" t="str">
        <f t="shared" si="69"/>
        <v/>
      </c>
      <c r="AL96" s="7">
        <f>((((AL88)+(AL92))+(AL93))+(AL94))+(AL95)</f>
        <v>73.739999999999995</v>
      </c>
      <c r="AM96" s="7">
        <f>((((AM88)+(AM92))+(AM93))+(AM94))+(AM95)</f>
        <v>0</v>
      </c>
      <c r="AN96" s="7">
        <f t="shared" si="70"/>
        <v>73.739999999999995</v>
      </c>
      <c r="AO96" s="8" t="str">
        <f t="shared" si="71"/>
        <v/>
      </c>
      <c r="AP96" s="7">
        <f>((((AP88)+(AP92))+(AP93))+(AP94))+(AP95)</f>
        <v>490.88</v>
      </c>
      <c r="AQ96" s="7">
        <f>((((AQ88)+(AQ92))+(AQ93))+(AQ94))+(AQ95)</f>
        <v>0</v>
      </c>
      <c r="AR96" s="7">
        <f t="shared" si="72"/>
        <v>490.88</v>
      </c>
      <c r="AS96" s="8" t="str">
        <f t="shared" si="73"/>
        <v/>
      </c>
      <c r="AT96" s="7">
        <f t="shared" si="74"/>
        <v>6631.51</v>
      </c>
      <c r="AU96" s="7">
        <f t="shared" si="75"/>
        <v>7000</v>
      </c>
      <c r="AV96" s="7">
        <f t="shared" si="76"/>
        <v>-368.48999999999978</v>
      </c>
      <c r="AW96" s="8">
        <f t="shared" si="77"/>
        <v>0.94735857142857149</v>
      </c>
    </row>
    <row r="97" spans="1:49" x14ac:dyDescent="0.25">
      <c r="A97" s="3" t="s">
        <v>106</v>
      </c>
      <c r="B97" s="4"/>
      <c r="C97" s="5">
        <f>1200</f>
        <v>1200</v>
      </c>
      <c r="D97" s="5">
        <f t="shared" si="52"/>
        <v>-1200</v>
      </c>
      <c r="E97" s="6">
        <f t="shared" si="53"/>
        <v>0</v>
      </c>
      <c r="F97" s="5">
        <f>312.57</f>
        <v>312.57</v>
      </c>
      <c r="G97" s="5">
        <f>0</f>
        <v>0</v>
      </c>
      <c r="H97" s="5">
        <f t="shared" si="54"/>
        <v>312.57</v>
      </c>
      <c r="I97" s="6" t="str">
        <f t="shared" si="55"/>
        <v/>
      </c>
      <c r="J97" s="4"/>
      <c r="K97" s="5">
        <f>0</f>
        <v>0</v>
      </c>
      <c r="L97" s="5">
        <f t="shared" si="56"/>
        <v>0</v>
      </c>
      <c r="M97" s="6" t="str">
        <f t="shared" si="57"/>
        <v/>
      </c>
      <c r="N97" s="4"/>
      <c r="O97" s="5">
        <f>0</f>
        <v>0</v>
      </c>
      <c r="P97" s="5">
        <f t="shared" si="58"/>
        <v>0</v>
      </c>
      <c r="Q97" s="6" t="str">
        <f t="shared" si="59"/>
        <v/>
      </c>
      <c r="R97" s="5">
        <f>348.36</f>
        <v>348.36</v>
      </c>
      <c r="S97" s="5">
        <f>0</f>
        <v>0</v>
      </c>
      <c r="T97" s="5">
        <f t="shared" si="60"/>
        <v>348.36</v>
      </c>
      <c r="U97" s="6" t="str">
        <f t="shared" si="61"/>
        <v/>
      </c>
      <c r="V97" s="4"/>
      <c r="W97" s="5">
        <f>0</f>
        <v>0</v>
      </c>
      <c r="X97" s="5">
        <f t="shared" si="62"/>
        <v>0</v>
      </c>
      <c r="Y97" s="6" t="str">
        <f t="shared" si="63"/>
        <v/>
      </c>
      <c r="Z97" s="4"/>
      <c r="AA97" s="5">
        <f>0</f>
        <v>0</v>
      </c>
      <c r="AB97" s="5">
        <f t="shared" si="64"/>
        <v>0</v>
      </c>
      <c r="AC97" s="6" t="str">
        <f t="shared" si="65"/>
        <v/>
      </c>
      <c r="AD97" s="5">
        <f>348.36</f>
        <v>348.36</v>
      </c>
      <c r="AE97" s="5">
        <f>0</f>
        <v>0</v>
      </c>
      <c r="AF97" s="5">
        <f t="shared" si="66"/>
        <v>348.36</v>
      </c>
      <c r="AG97" s="6" t="str">
        <f t="shared" si="67"/>
        <v/>
      </c>
      <c r="AH97" s="4"/>
      <c r="AI97" s="5">
        <f>0</f>
        <v>0</v>
      </c>
      <c r="AJ97" s="5">
        <f t="shared" si="68"/>
        <v>0</v>
      </c>
      <c r="AK97" s="6" t="str">
        <f t="shared" si="69"/>
        <v/>
      </c>
      <c r="AL97" s="4"/>
      <c r="AM97" s="5">
        <f>0</f>
        <v>0</v>
      </c>
      <c r="AN97" s="5">
        <f t="shared" si="70"/>
        <v>0</v>
      </c>
      <c r="AO97" s="6" t="str">
        <f t="shared" si="71"/>
        <v/>
      </c>
      <c r="AP97" s="5">
        <f>348.36</f>
        <v>348.36</v>
      </c>
      <c r="AQ97" s="5">
        <f>0</f>
        <v>0</v>
      </c>
      <c r="AR97" s="5">
        <f t="shared" si="72"/>
        <v>348.36</v>
      </c>
      <c r="AS97" s="6" t="str">
        <f t="shared" si="73"/>
        <v/>
      </c>
      <c r="AT97" s="5">
        <f t="shared" si="74"/>
        <v>1357.65</v>
      </c>
      <c r="AU97" s="5">
        <f t="shared" si="75"/>
        <v>1200</v>
      </c>
      <c r="AV97" s="5">
        <f t="shared" si="76"/>
        <v>157.65000000000009</v>
      </c>
      <c r="AW97" s="6">
        <f t="shared" si="77"/>
        <v>1.131375</v>
      </c>
    </row>
    <row r="98" spans="1:49" x14ac:dyDescent="0.25">
      <c r="A98" s="3" t="s">
        <v>107</v>
      </c>
      <c r="B98" s="4"/>
      <c r="C98" s="4"/>
      <c r="D98" s="5">
        <f t="shared" si="52"/>
        <v>0</v>
      </c>
      <c r="E98" s="6" t="str">
        <f t="shared" si="53"/>
        <v/>
      </c>
      <c r="F98" s="4"/>
      <c r="G98" s="4"/>
      <c r="H98" s="5">
        <f t="shared" si="54"/>
        <v>0</v>
      </c>
      <c r="I98" s="6" t="str">
        <f t="shared" si="55"/>
        <v/>
      </c>
      <c r="J98" s="4"/>
      <c r="K98" s="4"/>
      <c r="L98" s="5">
        <f t="shared" si="56"/>
        <v>0</v>
      </c>
      <c r="M98" s="6" t="str">
        <f t="shared" si="57"/>
        <v/>
      </c>
      <c r="N98" s="4"/>
      <c r="O98" s="4"/>
      <c r="P98" s="5">
        <f t="shared" si="58"/>
        <v>0</v>
      </c>
      <c r="Q98" s="6" t="str">
        <f t="shared" si="59"/>
        <v/>
      </c>
      <c r="R98" s="4"/>
      <c r="S98" s="4"/>
      <c r="T98" s="5">
        <f t="shared" si="60"/>
        <v>0</v>
      </c>
      <c r="U98" s="6" t="str">
        <f t="shared" si="61"/>
        <v/>
      </c>
      <c r="V98" s="4"/>
      <c r="W98" s="4"/>
      <c r="X98" s="5">
        <f t="shared" si="62"/>
        <v>0</v>
      </c>
      <c r="Y98" s="6" t="str">
        <f t="shared" si="63"/>
        <v/>
      </c>
      <c r="Z98" s="4"/>
      <c r="AA98" s="4"/>
      <c r="AB98" s="5">
        <f t="shared" si="64"/>
        <v>0</v>
      </c>
      <c r="AC98" s="6" t="str">
        <f t="shared" si="65"/>
        <v/>
      </c>
      <c r="AD98" s="4"/>
      <c r="AE98" s="4"/>
      <c r="AF98" s="5">
        <f t="shared" si="66"/>
        <v>0</v>
      </c>
      <c r="AG98" s="6" t="str">
        <f t="shared" si="67"/>
        <v/>
      </c>
      <c r="AH98" s="4"/>
      <c r="AI98" s="4"/>
      <c r="AJ98" s="5">
        <f t="shared" si="68"/>
        <v>0</v>
      </c>
      <c r="AK98" s="6" t="str">
        <f t="shared" si="69"/>
        <v/>
      </c>
      <c r="AL98" s="4"/>
      <c r="AM98" s="4"/>
      <c r="AN98" s="5">
        <f t="shared" si="70"/>
        <v>0</v>
      </c>
      <c r="AO98" s="6" t="str">
        <f t="shared" si="71"/>
        <v/>
      </c>
      <c r="AP98" s="4"/>
      <c r="AQ98" s="4"/>
      <c r="AR98" s="5">
        <f t="shared" si="72"/>
        <v>0</v>
      </c>
      <c r="AS98" s="6" t="str">
        <f t="shared" si="73"/>
        <v/>
      </c>
      <c r="AT98" s="5">
        <f t="shared" si="74"/>
        <v>0</v>
      </c>
      <c r="AU98" s="5">
        <f t="shared" si="75"/>
        <v>0</v>
      </c>
      <c r="AV98" s="5">
        <f t="shared" si="76"/>
        <v>0</v>
      </c>
      <c r="AW98" s="6" t="str">
        <f t="shared" si="77"/>
        <v/>
      </c>
    </row>
    <row r="99" spans="1:49" x14ac:dyDescent="0.25">
      <c r="A99" s="3" t="s">
        <v>108</v>
      </c>
      <c r="B99" s="5">
        <f>1064</f>
        <v>1064</v>
      </c>
      <c r="C99" s="5">
        <f>11000</f>
        <v>11000</v>
      </c>
      <c r="D99" s="5">
        <f t="shared" si="52"/>
        <v>-9936</v>
      </c>
      <c r="E99" s="6">
        <f t="shared" si="53"/>
        <v>9.6727272727272731E-2</v>
      </c>
      <c r="F99" s="5">
        <f>1058</f>
        <v>1058</v>
      </c>
      <c r="G99" s="5">
        <f>0</f>
        <v>0</v>
      </c>
      <c r="H99" s="5">
        <f t="shared" si="54"/>
        <v>1058</v>
      </c>
      <c r="I99" s="6" t="str">
        <f t="shared" si="55"/>
        <v/>
      </c>
      <c r="J99" s="5">
        <f>787</f>
        <v>787</v>
      </c>
      <c r="K99" s="5">
        <f>0</f>
        <v>0</v>
      </c>
      <c r="L99" s="5">
        <f t="shared" si="56"/>
        <v>787</v>
      </c>
      <c r="M99" s="6" t="str">
        <f t="shared" si="57"/>
        <v/>
      </c>
      <c r="N99" s="5">
        <f>812</f>
        <v>812</v>
      </c>
      <c r="O99" s="5">
        <f>0</f>
        <v>0</v>
      </c>
      <c r="P99" s="5">
        <f t="shared" si="58"/>
        <v>812</v>
      </c>
      <c r="Q99" s="6" t="str">
        <f t="shared" si="59"/>
        <v/>
      </c>
      <c r="R99" s="5">
        <f>693</f>
        <v>693</v>
      </c>
      <c r="S99" s="5">
        <f>0</f>
        <v>0</v>
      </c>
      <c r="T99" s="5">
        <f t="shared" si="60"/>
        <v>693</v>
      </c>
      <c r="U99" s="6" t="str">
        <f t="shared" si="61"/>
        <v/>
      </c>
      <c r="V99" s="4"/>
      <c r="W99" s="5">
        <f>0</f>
        <v>0</v>
      </c>
      <c r="X99" s="5">
        <f t="shared" si="62"/>
        <v>0</v>
      </c>
      <c r="Y99" s="6" t="str">
        <f t="shared" si="63"/>
        <v/>
      </c>
      <c r="Z99" s="5">
        <f>1465</f>
        <v>1465</v>
      </c>
      <c r="AA99" s="5">
        <f>0</f>
        <v>0</v>
      </c>
      <c r="AB99" s="5">
        <f t="shared" si="64"/>
        <v>1465</v>
      </c>
      <c r="AC99" s="6" t="str">
        <f t="shared" si="65"/>
        <v/>
      </c>
      <c r="AD99" s="5">
        <f>770</f>
        <v>770</v>
      </c>
      <c r="AE99" s="5">
        <f>0</f>
        <v>0</v>
      </c>
      <c r="AF99" s="5">
        <f t="shared" si="66"/>
        <v>770</v>
      </c>
      <c r="AG99" s="6" t="str">
        <f t="shared" si="67"/>
        <v/>
      </c>
      <c r="AH99" s="4"/>
      <c r="AI99" s="5">
        <f>0</f>
        <v>0</v>
      </c>
      <c r="AJ99" s="5">
        <f t="shared" si="68"/>
        <v>0</v>
      </c>
      <c r="AK99" s="6" t="str">
        <f t="shared" si="69"/>
        <v/>
      </c>
      <c r="AL99" s="5">
        <f>1268</f>
        <v>1268</v>
      </c>
      <c r="AM99" s="5">
        <f>0</f>
        <v>0</v>
      </c>
      <c r="AN99" s="5">
        <f t="shared" si="70"/>
        <v>1268</v>
      </c>
      <c r="AO99" s="6" t="str">
        <f t="shared" si="71"/>
        <v/>
      </c>
      <c r="AP99" s="5">
        <f>748</f>
        <v>748</v>
      </c>
      <c r="AQ99" s="5">
        <f>0</f>
        <v>0</v>
      </c>
      <c r="AR99" s="5">
        <f t="shared" si="72"/>
        <v>748</v>
      </c>
      <c r="AS99" s="6" t="str">
        <f t="shared" si="73"/>
        <v/>
      </c>
      <c r="AT99" s="5">
        <f t="shared" si="74"/>
        <v>8665</v>
      </c>
      <c r="AU99" s="5">
        <f t="shared" si="75"/>
        <v>11000</v>
      </c>
      <c r="AV99" s="5">
        <f t="shared" si="76"/>
        <v>-2335</v>
      </c>
      <c r="AW99" s="6">
        <f t="shared" si="77"/>
        <v>0.78772727272727272</v>
      </c>
    </row>
    <row r="100" spans="1:49" x14ac:dyDescent="0.25">
      <c r="A100" s="3" t="s">
        <v>109</v>
      </c>
      <c r="B100" s="5">
        <f>400</f>
        <v>400</v>
      </c>
      <c r="C100" s="5">
        <f>4800</f>
        <v>4800</v>
      </c>
      <c r="D100" s="5">
        <f t="shared" si="52"/>
        <v>-4400</v>
      </c>
      <c r="E100" s="6">
        <f t="shared" si="53"/>
        <v>8.3333333333333329E-2</v>
      </c>
      <c r="F100" s="5">
        <f>400</f>
        <v>400</v>
      </c>
      <c r="G100" s="5">
        <f>0</f>
        <v>0</v>
      </c>
      <c r="H100" s="5">
        <f t="shared" si="54"/>
        <v>400</v>
      </c>
      <c r="I100" s="6" t="str">
        <f t="shared" si="55"/>
        <v/>
      </c>
      <c r="J100" s="5">
        <f>400</f>
        <v>400</v>
      </c>
      <c r="K100" s="5">
        <f>0</f>
        <v>0</v>
      </c>
      <c r="L100" s="5">
        <f t="shared" si="56"/>
        <v>400</v>
      </c>
      <c r="M100" s="6" t="str">
        <f t="shared" si="57"/>
        <v/>
      </c>
      <c r="N100" s="5">
        <f>400</f>
        <v>400</v>
      </c>
      <c r="O100" s="5">
        <f>0</f>
        <v>0</v>
      </c>
      <c r="P100" s="5">
        <f t="shared" si="58"/>
        <v>400</v>
      </c>
      <c r="Q100" s="6" t="str">
        <f t="shared" si="59"/>
        <v/>
      </c>
      <c r="R100" s="5">
        <f>400</f>
        <v>400</v>
      </c>
      <c r="S100" s="5">
        <f>0</f>
        <v>0</v>
      </c>
      <c r="T100" s="5">
        <f t="shared" si="60"/>
        <v>400</v>
      </c>
      <c r="U100" s="6" t="str">
        <f t="shared" si="61"/>
        <v/>
      </c>
      <c r="V100" s="5">
        <f>400</f>
        <v>400</v>
      </c>
      <c r="W100" s="5">
        <f>0</f>
        <v>0</v>
      </c>
      <c r="X100" s="5">
        <f t="shared" si="62"/>
        <v>400</v>
      </c>
      <c r="Y100" s="6" t="str">
        <f t="shared" si="63"/>
        <v/>
      </c>
      <c r="Z100" s="5">
        <f>400</f>
        <v>400</v>
      </c>
      <c r="AA100" s="5">
        <f>0</f>
        <v>0</v>
      </c>
      <c r="AB100" s="5">
        <f t="shared" si="64"/>
        <v>400</v>
      </c>
      <c r="AC100" s="6" t="str">
        <f t="shared" si="65"/>
        <v/>
      </c>
      <c r="AD100" s="5">
        <f>400</f>
        <v>400</v>
      </c>
      <c r="AE100" s="5">
        <f>0</f>
        <v>0</v>
      </c>
      <c r="AF100" s="5">
        <f t="shared" si="66"/>
        <v>400</v>
      </c>
      <c r="AG100" s="6" t="str">
        <f t="shared" si="67"/>
        <v/>
      </c>
      <c r="AH100" s="5">
        <f>400</f>
        <v>400</v>
      </c>
      <c r="AI100" s="5">
        <f>0</f>
        <v>0</v>
      </c>
      <c r="AJ100" s="5">
        <f t="shared" si="68"/>
        <v>400</v>
      </c>
      <c r="AK100" s="6" t="str">
        <f t="shared" si="69"/>
        <v/>
      </c>
      <c r="AL100" s="5">
        <f>400</f>
        <v>400</v>
      </c>
      <c r="AM100" s="5">
        <f>0</f>
        <v>0</v>
      </c>
      <c r="AN100" s="5">
        <f t="shared" si="70"/>
        <v>400</v>
      </c>
      <c r="AO100" s="6" t="str">
        <f t="shared" si="71"/>
        <v/>
      </c>
      <c r="AP100" s="5">
        <f>400</f>
        <v>400</v>
      </c>
      <c r="AQ100" s="5">
        <f>0</f>
        <v>0</v>
      </c>
      <c r="AR100" s="5">
        <f t="shared" si="72"/>
        <v>400</v>
      </c>
      <c r="AS100" s="6" t="str">
        <f t="shared" si="73"/>
        <v/>
      </c>
      <c r="AT100" s="5">
        <f t="shared" si="74"/>
        <v>4400</v>
      </c>
      <c r="AU100" s="5">
        <f t="shared" si="75"/>
        <v>4800</v>
      </c>
      <c r="AV100" s="5">
        <f t="shared" si="76"/>
        <v>-400</v>
      </c>
      <c r="AW100" s="6">
        <f t="shared" si="77"/>
        <v>0.91666666666666663</v>
      </c>
    </row>
    <row r="101" spans="1:49" x14ac:dyDescent="0.25">
      <c r="A101" s="3" t="s">
        <v>110</v>
      </c>
      <c r="B101" s="5">
        <f>1252.21</f>
        <v>1252.21</v>
      </c>
      <c r="C101" s="5">
        <f>12000</f>
        <v>12000</v>
      </c>
      <c r="D101" s="5">
        <f t="shared" si="52"/>
        <v>-10747.79</v>
      </c>
      <c r="E101" s="6">
        <f t="shared" si="53"/>
        <v>0.10435083333333334</v>
      </c>
      <c r="F101" s="5">
        <f>806.67</f>
        <v>806.67</v>
      </c>
      <c r="G101" s="5">
        <f>0</f>
        <v>0</v>
      </c>
      <c r="H101" s="5">
        <f t="shared" si="54"/>
        <v>806.67</v>
      </c>
      <c r="I101" s="6" t="str">
        <f t="shared" si="55"/>
        <v/>
      </c>
      <c r="J101" s="5">
        <f>661.3</f>
        <v>661.3</v>
      </c>
      <c r="K101" s="5">
        <f>0</f>
        <v>0</v>
      </c>
      <c r="L101" s="5">
        <f t="shared" si="56"/>
        <v>661.3</v>
      </c>
      <c r="M101" s="6" t="str">
        <f t="shared" si="57"/>
        <v/>
      </c>
      <c r="N101" s="5">
        <f>414.36</f>
        <v>414.36</v>
      </c>
      <c r="O101" s="5">
        <f>0</f>
        <v>0</v>
      </c>
      <c r="P101" s="5">
        <f t="shared" si="58"/>
        <v>414.36</v>
      </c>
      <c r="Q101" s="6" t="str">
        <f t="shared" si="59"/>
        <v/>
      </c>
      <c r="R101" s="5">
        <f>218.24</f>
        <v>218.24</v>
      </c>
      <c r="S101" s="5">
        <f>0</f>
        <v>0</v>
      </c>
      <c r="T101" s="5">
        <f t="shared" si="60"/>
        <v>218.24</v>
      </c>
      <c r="U101" s="6" t="str">
        <f t="shared" si="61"/>
        <v/>
      </c>
      <c r="V101" s="5">
        <f>34.13</f>
        <v>34.130000000000003</v>
      </c>
      <c r="W101" s="5">
        <f>0</f>
        <v>0</v>
      </c>
      <c r="X101" s="5">
        <f t="shared" si="62"/>
        <v>34.130000000000003</v>
      </c>
      <c r="Y101" s="6" t="str">
        <f t="shared" si="63"/>
        <v/>
      </c>
      <c r="Z101" s="5">
        <f>33.91</f>
        <v>33.909999999999997</v>
      </c>
      <c r="AA101" s="5">
        <f>0</f>
        <v>0</v>
      </c>
      <c r="AB101" s="5">
        <f t="shared" si="64"/>
        <v>33.909999999999997</v>
      </c>
      <c r="AC101" s="6" t="str">
        <f t="shared" si="65"/>
        <v/>
      </c>
      <c r="AD101" s="5">
        <f>29.66</f>
        <v>29.66</v>
      </c>
      <c r="AE101" s="5">
        <f>0</f>
        <v>0</v>
      </c>
      <c r="AF101" s="5">
        <f t="shared" si="66"/>
        <v>29.66</v>
      </c>
      <c r="AG101" s="6" t="str">
        <f t="shared" si="67"/>
        <v/>
      </c>
      <c r="AH101" s="5">
        <f>63.96</f>
        <v>63.96</v>
      </c>
      <c r="AI101" s="5">
        <f>0</f>
        <v>0</v>
      </c>
      <c r="AJ101" s="5">
        <f t="shared" si="68"/>
        <v>63.96</v>
      </c>
      <c r="AK101" s="6" t="str">
        <f t="shared" si="69"/>
        <v/>
      </c>
      <c r="AL101" s="5">
        <f>296.27</f>
        <v>296.27</v>
      </c>
      <c r="AM101" s="5">
        <f>0</f>
        <v>0</v>
      </c>
      <c r="AN101" s="5">
        <f t="shared" si="70"/>
        <v>296.27</v>
      </c>
      <c r="AO101" s="6" t="str">
        <f t="shared" si="71"/>
        <v/>
      </c>
      <c r="AP101" s="5">
        <f>472.45</f>
        <v>472.45</v>
      </c>
      <c r="AQ101" s="5">
        <f>0</f>
        <v>0</v>
      </c>
      <c r="AR101" s="5">
        <f t="shared" si="72"/>
        <v>472.45</v>
      </c>
      <c r="AS101" s="6" t="str">
        <f t="shared" si="73"/>
        <v/>
      </c>
      <c r="AT101" s="5">
        <f t="shared" si="74"/>
        <v>4283.1600000000008</v>
      </c>
      <c r="AU101" s="5">
        <f t="shared" si="75"/>
        <v>12000</v>
      </c>
      <c r="AV101" s="5">
        <f t="shared" si="76"/>
        <v>-7716.8399999999992</v>
      </c>
      <c r="AW101" s="6">
        <f t="shared" si="77"/>
        <v>0.35693000000000008</v>
      </c>
    </row>
    <row r="102" spans="1:49" x14ac:dyDescent="0.25">
      <c r="A102" s="3" t="s">
        <v>111</v>
      </c>
      <c r="B102" s="5">
        <f>153.72</f>
        <v>153.72</v>
      </c>
      <c r="C102" s="5">
        <f>1500</f>
        <v>1500</v>
      </c>
      <c r="D102" s="5">
        <f t="shared" si="52"/>
        <v>-1346.28</v>
      </c>
      <c r="E102" s="6">
        <f t="shared" si="53"/>
        <v>0.10248</v>
      </c>
      <c r="F102" s="5">
        <f>153.72</f>
        <v>153.72</v>
      </c>
      <c r="G102" s="5">
        <f>0</f>
        <v>0</v>
      </c>
      <c r="H102" s="5">
        <f t="shared" si="54"/>
        <v>153.72</v>
      </c>
      <c r="I102" s="6" t="str">
        <f t="shared" si="55"/>
        <v/>
      </c>
      <c r="J102" s="5">
        <f>153.72</f>
        <v>153.72</v>
      </c>
      <c r="K102" s="5">
        <f>0</f>
        <v>0</v>
      </c>
      <c r="L102" s="5">
        <f t="shared" si="56"/>
        <v>153.72</v>
      </c>
      <c r="M102" s="6" t="str">
        <f t="shared" si="57"/>
        <v/>
      </c>
      <c r="N102" s="5">
        <f>153.72</f>
        <v>153.72</v>
      </c>
      <c r="O102" s="5">
        <f>0</f>
        <v>0</v>
      </c>
      <c r="P102" s="5">
        <f t="shared" si="58"/>
        <v>153.72</v>
      </c>
      <c r="Q102" s="6" t="str">
        <f t="shared" si="59"/>
        <v/>
      </c>
      <c r="R102" s="4"/>
      <c r="S102" s="5">
        <f>0</f>
        <v>0</v>
      </c>
      <c r="T102" s="5">
        <f t="shared" si="60"/>
        <v>0</v>
      </c>
      <c r="U102" s="6" t="str">
        <f t="shared" si="61"/>
        <v/>
      </c>
      <c r="V102" s="5">
        <f>307.44</f>
        <v>307.44</v>
      </c>
      <c r="W102" s="5">
        <f>0</f>
        <v>0</v>
      </c>
      <c r="X102" s="5">
        <f t="shared" si="62"/>
        <v>307.44</v>
      </c>
      <c r="Y102" s="6" t="str">
        <f t="shared" si="63"/>
        <v/>
      </c>
      <c r="Z102" s="5">
        <f>153.72</f>
        <v>153.72</v>
      </c>
      <c r="AA102" s="5">
        <f>0</f>
        <v>0</v>
      </c>
      <c r="AB102" s="5">
        <f t="shared" si="64"/>
        <v>153.72</v>
      </c>
      <c r="AC102" s="6" t="str">
        <f t="shared" si="65"/>
        <v/>
      </c>
      <c r="AD102" s="5">
        <f>153.72</f>
        <v>153.72</v>
      </c>
      <c r="AE102" s="5">
        <f>0</f>
        <v>0</v>
      </c>
      <c r="AF102" s="5">
        <f t="shared" si="66"/>
        <v>153.72</v>
      </c>
      <c r="AG102" s="6" t="str">
        <f t="shared" si="67"/>
        <v/>
      </c>
      <c r="AH102" s="5">
        <f>153.72</f>
        <v>153.72</v>
      </c>
      <c r="AI102" s="5">
        <f>0</f>
        <v>0</v>
      </c>
      <c r="AJ102" s="5">
        <f t="shared" si="68"/>
        <v>153.72</v>
      </c>
      <c r="AK102" s="6" t="str">
        <f t="shared" si="69"/>
        <v/>
      </c>
      <c r="AL102" s="4"/>
      <c r="AM102" s="5">
        <f>0</f>
        <v>0</v>
      </c>
      <c r="AN102" s="5">
        <f t="shared" si="70"/>
        <v>0</v>
      </c>
      <c r="AO102" s="6" t="str">
        <f t="shared" si="71"/>
        <v/>
      </c>
      <c r="AP102" s="4"/>
      <c r="AQ102" s="5">
        <f>0</f>
        <v>0</v>
      </c>
      <c r="AR102" s="5">
        <f t="shared" si="72"/>
        <v>0</v>
      </c>
      <c r="AS102" s="6" t="str">
        <f t="shared" si="73"/>
        <v/>
      </c>
      <c r="AT102" s="5">
        <f t="shared" si="74"/>
        <v>1383.48</v>
      </c>
      <c r="AU102" s="5">
        <f t="shared" si="75"/>
        <v>1500</v>
      </c>
      <c r="AV102" s="5">
        <f t="shared" si="76"/>
        <v>-116.51999999999998</v>
      </c>
      <c r="AW102" s="6">
        <f t="shared" si="77"/>
        <v>0.92232000000000003</v>
      </c>
    </row>
    <row r="103" spans="1:49" x14ac:dyDescent="0.25">
      <c r="A103" s="3" t="s">
        <v>112</v>
      </c>
      <c r="B103" s="5">
        <f>148.32</f>
        <v>148.32</v>
      </c>
      <c r="C103" s="5">
        <f>2000</f>
        <v>2000</v>
      </c>
      <c r="D103" s="5">
        <f t="shared" si="52"/>
        <v>-1851.68</v>
      </c>
      <c r="E103" s="6">
        <f t="shared" si="53"/>
        <v>7.415999999999999E-2</v>
      </c>
      <c r="F103" s="5">
        <f>148.32</f>
        <v>148.32</v>
      </c>
      <c r="G103" s="5">
        <f>0</f>
        <v>0</v>
      </c>
      <c r="H103" s="5">
        <f t="shared" si="54"/>
        <v>148.32</v>
      </c>
      <c r="I103" s="6" t="str">
        <f t="shared" si="55"/>
        <v/>
      </c>
      <c r="J103" s="5">
        <f>148.32</f>
        <v>148.32</v>
      </c>
      <c r="K103" s="5">
        <f>0</f>
        <v>0</v>
      </c>
      <c r="L103" s="5">
        <f t="shared" si="56"/>
        <v>148.32</v>
      </c>
      <c r="M103" s="6" t="str">
        <f t="shared" si="57"/>
        <v/>
      </c>
      <c r="N103" s="5">
        <f>148.32</f>
        <v>148.32</v>
      </c>
      <c r="O103" s="5">
        <f>0</f>
        <v>0</v>
      </c>
      <c r="P103" s="5">
        <f t="shared" si="58"/>
        <v>148.32</v>
      </c>
      <c r="Q103" s="6" t="str">
        <f t="shared" si="59"/>
        <v/>
      </c>
      <c r="R103" s="5">
        <f>148.32</f>
        <v>148.32</v>
      </c>
      <c r="S103" s="5">
        <f>0</f>
        <v>0</v>
      </c>
      <c r="T103" s="5">
        <f t="shared" si="60"/>
        <v>148.32</v>
      </c>
      <c r="U103" s="6" t="str">
        <f t="shared" si="61"/>
        <v/>
      </c>
      <c r="V103" s="5">
        <f>148.32</f>
        <v>148.32</v>
      </c>
      <c r="W103" s="5">
        <f>0</f>
        <v>0</v>
      </c>
      <c r="X103" s="5">
        <f t="shared" si="62"/>
        <v>148.32</v>
      </c>
      <c r="Y103" s="6" t="str">
        <f t="shared" si="63"/>
        <v/>
      </c>
      <c r="Z103" s="5">
        <f>148.32</f>
        <v>148.32</v>
      </c>
      <c r="AA103" s="5">
        <f>0</f>
        <v>0</v>
      </c>
      <c r="AB103" s="5">
        <f t="shared" si="64"/>
        <v>148.32</v>
      </c>
      <c r="AC103" s="6" t="str">
        <f t="shared" si="65"/>
        <v/>
      </c>
      <c r="AD103" s="5">
        <f>148.32</f>
        <v>148.32</v>
      </c>
      <c r="AE103" s="5">
        <f>0</f>
        <v>0</v>
      </c>
      <c r="AF103" s="5">
        <f t="shared" si="66"/>
        <v>148.32</v>
      </c>
      <c r="AG103" s="6" t="str">
        <f t="shared" si="67"/>
        <v/>
      </c>
      <c r="AH103" s="5">
        <f>148.32</f>
        <v>148.32</v>
      </c>
      <c r="AI103" s="5">
        <f>0</f>
        <v>0</v>
      </c>
      <c r="AJ103" s="5">
        <f t="shared" si="68"/>
        <v>148.32</v>
      </c>
      <c r="AK103" s="6" t="str">
        <f t="shared" si="69"/>
        <v/>
      </c>
      <c r="AL103" s="5">
        <f>148.32</f>
        <v>148.32</v>
      </c>
      <c r="AM103" s="5">
        <f>0</f>
        <v>0</v>
      </c>
      <c r="AN103" s="5">
        <f t="shared" si="70"/>
        <v>148.32</v>
      </c>
      <c r="AO103" s="6" t="str">
        <f t="shared" si="71"/>
        <v/>
      </c>
      <c r="AP103" s="5">
        <f>148.32</f>
        <v>148.32</v>
      </c>
      <c r="AQ103" s="5">
        <f>0</f>
        <v>0</v>
      </c>
      <c r="AR103" s="5">
        <f t="shared" si="72"/>
        <v>148.32</v>
      </c>
      <c r="AS103" s="6" t="str">
        <f t="shared" si="73"/>
        <v/>
      </c>
      <c r="AT103" s="5">
        <f t="shared" si="74"/>
        <v>1631.5199999999995</v>
      </c>
      <c r="AU103" s="5">
        <f t="shared" si="75"/>
        <v>2000</v>
      </c>
      <c r="AV103" s="5">
        <f t="shared" si="76"/>
        <v>-368.48000000000047</v>
      </c>
      <c r="AW103" s="6">
        <f t="shared" si="77"/>
        <v>0.81575999999999982</v>
      </c>
    </row>
    <row r="104" spans="1:49" x14ac:dyDescent="0.25">
      <c r="A104" s="3" t="s">
        <v>113</v>
      </c>
      <c r="B104" s="5">
        <f>118.77</f>
        <v>118.77</v>
      </c>
      <c r="C104" s="5">
        <f>1300</f>
        <v>1300</v>
      </c>
      <c r="D104" s="5">
        <f t="shared" si="52"/>
        <v>-1181.23</v>
      </c>
      <c r="E104" s="6">
        <f t="shared" si="53"/>
        <v>9.1361538461538452E-2</v>
      </c>
      <c r="F104" s="5">
        <f>118.77</f>
        <v>118.77</v>
      </c>
      <c r="G104" s="5">
        <f>0</f>
        <v>0</v>
      </c>
      <c r="H104" s="5">
        <f t="shared" si="54"/>
        <v>118.77</v>
      </c>
      <c r="I104" s="6" t="str">
        <f t="shared" si="55"/>
        <v/>
      </c>
      <c r="J104" s="5">
        <f>118.77</f>
        <v>118.77</v>
      </c>
      <c r="K104" s="5">
        <f>0</f>
        <v>0</v>
      </c>
      <c r="L104" s="5">
        <f t="shared" si="56"/>
        <v>118.77</v>
      </c>
      <c r="M104" s="6" t="str">
        <f t="shared" si="57"/>
        <v/>
      </c>
      <c r="N104" s="5">
        <f>248.24</f>
        <v>248.24</v>
      </c>
      <c r="O104" s="5">
        <f>0</f>
        <v>0</v>
      </c>
      <c r="P104" s="5">
        <f t="shared" si="58"/>
        <v>248.24</v>
      </c>
      <c r="Q104" s="6" t="str">
        <f t="shared" si="59"/>
        <v/>
      </c>
      <c r="R104" s="5">
        <f>124.12</f>
        <v>124.12</v>
      </c>
      <c r="S104" s="5">
        <f>0</f>
        <v>0</v>
      </c>
      <c r="T104" s="5">
        <f t="shared" si="60"/>
        <v>124.12</v>
      </c>
      <c r="U104" s="6" t="str">
        <f t="shared" si="61"/>
        <v/>
      </c>
      <c r="V104" s="5">
        <f>124.12</f>
        <v>124.12</v>
      </c>
      <c r="W104" s="5">
        <f>0</f>
        <v>0</v>
      </c>
      <c r="X104" s="5">
        <f t="shared" si="62"/>
        <v>124.12</v>
      </c>
      <c r="Y104" s="6" t="str">
        <f t="shared" si="63"/>
        <v/>
      </c>
      <c r="Z104" s="4"/>
      <c r="AA104" s="5">
        <f>0</f>
        <v>0</v>
      </c>
      <c r="AB104" s="5">
        <f t="shared" si="64"/>
        <v>0</v>
      </c>
      <c r="AC104" s="6" t="str">
        <f t="shared" si="65"/>
        <v/>
      </c>
      <c r="AD104" s="5">
        <f>251.24</f>
        <v>251.24</v>
      </c>
      <c r="AE104" s="5">
        <f>0</f>
        <v>0</v>
      </c>
      <c r="AF104" s="5">
        <f t="shared" si="66"/>
        <v>251.24</v>
      </c>
      <c r="AG104" s="6" t="str">
        <f t="shared" si="67"/>
        <v/>
      </c>
      <c r="AH104" s="5">
        <f>124.12</f>
        <v>124.12</v>
      </c>
      <c r="AI104" s="5">
        <f>0</f>
        <v>0</v>
      </c>
      <c r="AJ104" s="5">
        <f t="shared" si="68"/>
        <v>124.12</v>
      </c>
      <c r="AK104" s="6" t="str">
        <f t="shared" si="69"/>
        <v/>
      </c>
      <c r="AL104" s="5">
        <f>124.12</f>
        <v>124.12</v>
      </c>
      <c r="AM104" s="5">
        <f>0</f>
        <v>0</v>
      </c>
      <c r="AN104" s="5">
        <f t="shared" si="70"/>
        <v>124.12</v>
      </c>
      <c r="AO104" s="6" t="str">
        <f t="shared" si="71"/>
        <v/>
      </c>
      <c r="AP104" s="4"/>
      <c r="AQ104" s="5">
        <f>0</f>
        <v>0</v>
      </c>
      <c r="AR104" s="5">
        <f t="shared" si="72"/>
        <v>0</v>
      </c>
      <c r="AS104" s="6" t="str">
        <f t="shared" si="73"/>
        <v/>
      </c>
      <c r="AT104" s="5">
        <f t="shared" si="74"/>
        <v>1352.27</v>
      </c>
      <c r="AU104" s="5">
        <f t="shared" si="75"/>
        <v>1300</v>
      </c>
      <c r="AV104" s="5">
        <f t="shared" si="76"/>
        <v>52.269999999999982</v>
      </c>
      <c r="AW104" s="6">
        <f t="shared" si="77"/>
        <v>1.0402076923076924</v>
      </c>
    </row>
    <row r="105" spans="1:49" x14ac:dyDescent="0.25">
      <c r="A105" s="3" t="s">
        <v>114</v>
      </c>
      <c r="B105" s="5">
        <f>46.65</f>
        <v>46.65</v>
      </c>
      <c r="C105" s="5">
        <f>850</f>
        <v>850</v>
      </c>
      <c r="D105" s="5">
        <f t="shared" si="52"/>
        <v>-803.35</v>
      </c>
      <c r="E105" s="6">
        <f t="shared" si="53"/>
        <v>5.4882352941176465E-2</v>
      </c>
      <c r="F105" s="5">
        <f>45.65</f>
        <v>45.65</v>
      </c>
      <c r="G105" s="5">
        <f>0</f>
        <v>0</v>
      </c>
      <c r="H105" s="5">
        <f t="shared" si="54"/>
        <v>45.65</v>
      </c>
      <c r="I105" s="6" t="str">
        <f t="shared" si="55"/>
        <v/>
      </c>
      <c r="J105" s="5">
        <f>195.65</f>
        <v>195.65</v>
      </c>
      <c r="K105" s="5">
        <f>0</f>
        <v>0</v>
      </c>
      <c r="L105" s="5">
        <f t="shared" si="56"/>
        <v>195.65</v>
      </c>
      <c r="M105" s="6" t="str">
        <f t="shared" si="57"/>
        <v/>
      </c>
      <c r="N105" s="5">
        <f>45.65</f>
        <v>45.65</v>
      </c>
      <c r="O105" s="5">
        <f>0</f>
        <v>0</v>
      </c>
      <c r="P105" s="5">
        <f t="shared" si="58"/>
        <v>45.65</v>
      </c>
      <c r="Q105" s="6" t="str">
        <f t="shared" si="59"/>
        <v/>
      </c>
      <c r="R105" s="4"/>
      <c r="S105" s="5">
        <f>0</f>
        <v>0</v>
      </c>
      <c r="T105" s="5">
        <f t="shared" si="60"/>
        <v>0</v>
      </c>
      <c r="U105" s="6" t="str">
        <f t="shared" si="61"/>
        <v/>
      </c>
      <c r="V105" s="5">
        <f>99</f>
        <v>99</v>
      </c>
      <c r="W105" s="5">
        <f>0</f>
        <v>0</v>
      </c>
      <c r="X105" s="5">
        <f t="shared" si="62"/>
        <v>99</v>
      </c>
      <c r="Y105" s="6" t="str">
        <f t="shared" si="63"/>
        <v/>
      </c>
      <c r="Z105" s="5">
        <f>41.8</f>
        <v>41.8</v>
      </c>
      <c r="AA105" s="5">
        <f>0</f>
        <v>0</v>
      </c>
      <c r="AB105" s="5">
        <f t="shared" si="64"/>
        <v>41.8</v>
      </c>
      <c r="AC105" s="6" t="str">
        <f t="shared" si="65"/>
        <v/>
      </c>
      <c r="AD105" s="5">
        <f>45.65</f>
        <v>45.65</v>
      </c>
      <c r="AE105" s="5">
        <f>0</f>
        <v>0</v>
      </c>
      <c r="AF105" s="5">
        <f t="shared" si="66"/>
        <v>45.65</v>
      </c>
      <c r="AG105" s="6" t="str">
        <f t="shared" si="67"/>
        <v/>
      </c>
      <c r="AH105" s="5">
        <f>45.65</f>
        <v>45.65</v>
      </c>
      <c r="AI105" s="5">
        <f>0</f>
        <v>0</v>
      </c>
      <c r="AJ105" s="5">
        <f t="shared" si="68"/>
        <v>45.65</v>
      </c>
      <c r="AK105" s="6" t="str">
        <f t="shared" si="69"/>
        <v/>
      </c>
      <c r="AL105" s="4"/>
      <c r="AM105" s="5">
        <f>0</f>
        <v>0</v>
      </c>
      <c r="AN105" s="5">
        <f t="shared" si="70"/>
        <v>0</v>
      </c>
      <c r="AO105" s="6" t="str">
        <f t="shared" si="71"/>
        <v/>
      </c>
      <c r="AP105" s="4"/>
      <c r="AQ105" s="5">
        <f>0</f>
        <v>0</v>
      </c>
      <c r="AR105" s="5">
        <f t="shared" si="72"/>
        <v>0</v>
      </c>
      <c r="AS105" s="6" t="str">
        <f t="shared" si="73"/>
        <v/>
      </c>
      <c r="AT105" s="5">
        <f t="shared" si="74"/>
        <v>565.69999999999993</v>
      </c>
      <c r="AU105" s="5">
        <f t="shared" si="75"/>
        <v>850</v>
      </c>
      <c r="AV105" s="5">
        <f t="shared" si="76"/>
        <v>-284.30000000000007</v>
      </c>
      <c r="AW105" s="6">
        <f t="shared" si="77"/>
        <v>0.66552941176470581</v>
      </c>
    </row>
    <row r="106" spans="1:49" x14ac:dyDescent="0.25">
      <c r="A106" s="3" t="s">
        <v>115</v>
      </c>
      <c r="B106" s="7">
        <f>(((((((B98)+(B99))+(B100))+(B101))+(B102))+(B103))+(B104))+(B105)</f>
        <v>3183.67</v>
      </c>
      <c r="C106" s="7">
        <f>(((((((C98)+(C99))+(C100))+(C101))+(C102))+(C103))+(C104))+(C105)</f>
        <v>33450</v>
      </c>
      <c r="D106" s="7">
        <f t="shared" si="52"/>
        <v>-30266.33</v>
      </c>
      <c r="E106" s="8">
        <f t="shared" si="53"/>
        <v>9.5176980568011965E-2</v>
      </c>
      <c r="F106" s="7">
        <f>(((((((F98)+(F99))+(F100))+(F101))+(F102))+(F103))+(F104))+(F105)</f>
        <v>2731.13</v>
      </c>
      <c r="G106" s="7">
        <f>(((((((G98)+(G99))+(G100))+(G101))+(G102))+(G103))+(G104))+(G105)</f>
        <v>0</v>
      </c>
      <c r="H106" s="7">
        <f t="shared" si="54"/>
        <v>2731.13</v>
      </c>
      <c r="I106" s="8" t="str">
        <f t="shared" si="55"/>
        <v/>
      </c>
      <c r="J106" s="7">
        <f>(((((((J98)+(J99))+(J100))+(J101))+(J102))+(J103))+(J104))+(J105)</f>
        <v>2464.7600000000002</v>
      </c>
      <c r="K106" s="7">
        <f>(((((((K98)+(K99))+(K100))+(K101))+(K102))+(K103))+(K104))+(K105)</f>
        <v>0</v>
      </c>
      <c r="L106" s="7">
        <f t="shared" si="56"/>
        <v>2464.7600000000002</v>
      </c>
      <c r="M106" s="8" t="str">
        <f t="shared" si="57"/>
        <v/>
      </c>
      <c r="N106" s="7">
        <f>(((((((N98)+(N99))+(N100))+(N101))+(N102))+(N103))+(N104))+(N105)</f>
        <v>2222.2900000000004</v>
      </c>
      <c r="O106" s="7">
        <f>(((((((O98)+(O99))+(O100))+(O101))+(O102))+(O103))+(O104))+(O105)</f>
        <v>0</v>
      </c>
      <c r="P106" s="7">
        <f t="shared" si="58"/>
        <v>2222.2900000000004</v>
      </c>
      <c r="Q106" s="8" t="str">
        <f t="shared" si="59"/>
        <v/>
      </c>
      <c r="R106" s="7">
        <f>(((((((R98)+(R99))+(R100))+(R101))+(R102))+(R103))+(R104))+(R105)</f>
        <v>1583.6799999999998</v>
      </c>
      <c r="S106" s="7">
        <f>(((((((S98)+(S99))+(S100))+(S101))+(S102))+(S103))+(S104))+(S105)</f>
        <v>0</v>
      </c>
      <c r="T106" s="7">
        <f t="shared" si="60"/>
        <v>1583.6799999999998</v>
      </c>
      <c r="U106" s="8" t="str">
        <f t="shared" si="61"/>
        <v/>
      </c>
      <c r="V106" s="7">
        <f>(((((((V98)+(V99))+(V100))+(V101))+(V102))+(V103))+(V104))+(V105)</f>
        <v>1113.0099999999998</v>
      </c>
      <c r="W106" s="7">
        <f>(((((((W98)+(W99))+(W100))+(W101))+(W102))+(W103))+(W104))+(W105)</f>
        <v>0</v>
      </c>
      <c r="X106" s="7">
        <f t="shared" si="62"/>
        <v>1113.0099999999998</v>
      </c>
      <c r="Y106" s="8" t="str">
        <f t="shared" si="63"/>
        <v/>
      </c>
      <c r="Z106" s="7">
        <f>(((((((Z98)+(Z99))+(Z100))+(Z101))+(Z102))+(Z103))+(Z104))+(Z105)</f>
        <v>2242.7500000000005</v>
      </c>
      <c r="AA106" s="7">
        <f>(((((((AA98)+(AA99))+(AA100))+(AA101))+(AA102))+(AA103))+(AA104))+(AA105)</f>
        <v>0</v>
      </c>
      <c r="AB106" s="7">
        <f t="shared" si="64"/>
        <v>2242.7500000000005</v>
      </c>
      <c r="AC106" s="8" t="str">
        <f t="shared" si="65"/>
        <v/>
      </c>
      <c r="AD106" s="7">
        <f>(((((((AD98)+(AD99))+(AD100))+(AD101))+(AD102))+(AD103))+(AD104))+(AD105)</f>
        <v>1798.5900000000001</v>
      </c>
      <c r="AE106" s="7">
        <f>(((((((AE98)+(AE99))+(AE100))+(AE101))+(AE102))+(AE103))+(AE104))+(AE105)</f>
        <v>0</v>
      </c>
      <c r="AF106" s="7">
        <f t="shared" si="66"/>
        <v>1798.5900000000001</v>
      </c>
      <c r="AG106" s="8" t="str">
        <f t="shared" si="67"/>
        <v/>
      </c>
      <c r="AH106" s="7">
        <f>(((((((AH98)+(AH99))+(AH100))+(AH101))+(AH102))+(AH103))+(AH104))+(AH105)</f>
        <v>935.77</v>
      </c>
      <c r="AI106" s="7">
        <f>(((((((AI98)+(AI99))+(AI100))+(AI101))+(AI102))+(AI103))+(AI104))+(AI105)</f>
        <v>0</v>
      </c>
      <c r="AJ106" s="7">
        <f t="shared" si="68"/>
        <v>935.77</v>
      </c>
      <c r="AK106" s="8" t="str">
        <f t="shared" si="69"/>
        <v/>
      </c>
      <c r="AL106" s="7">
        <f>(((((((AL98)+(AL99))+(AL100))+(AL101))+(AL102))+(AL103))+(AL104))+(AL105)</f>
        <v>2236.71</v>
      </c>
      <c r="AM106" s="7">
        <f>(((((((AM98)+(AM99))+(AM100))+(AM101))+(AM102))+(AM103))+(AM104))+(AM105)</f>
        <v>0</v>
      </c>
      <c r="AN106" s="7">
        <f t="shared" si="70"/>
        <v>2236.71</v>
      </c>
      <c r="AO106" s="8" t="str">
        <f t="shared" si="71"/>
        <v/>
      </c>
      <c r="AP106" s="7">
        <f>(((((((AP98)+(AP99))+(AP100))+(AP101))+(AP102))+(AP103))+(AP104))+(AP105)</f>
        <v>1768.77</v>
      </c>
      <c r="AQ106" s="7">
        <f>(((((((AQ98)+(AQ99))+(AQ100))+(AQ101))+(AQ102))+(AQ103))+(AQ104))+(AQ105)</f>
        <v>0</v>
      </c>
      <c r="AR106" s="7">
        <f t="shared" si="72"/>
        <v>1768.77</v>
      </c>
      <c r="AS106" s="8" t="str">
        <f t="shared" si="73"/>
        <v/>
      </c>
      <c r="AT106" s="7">
        <f t="shared" si="74"/>
        <v>22281.130000000005</v>
      </c>
      <c r="AU106" s="7">
        <f t="shared" si="75"/>
        <v>33450</v>
      </c>
      <c r="AV106" s="7">
        <f t="shared" si="76"/>
        <v>-11168.869999999995</v>
      </c>
      <c r="AW106" s="8">
        <f t="shared" si="77"/>
        <v>0.66610254110612865</v>
      </c>
    </row>
    <row r="107" spans="1:49" x14ac:dyDescent="0.25">
      <c r="A107" s="3" t="s">
        <v>116</v>
      </c>
      <c r="B107" s="7">
        <f>((((B86)+(B87))+(B96))+(B97))+(B106)</f>
        <v>3414.65</v>
      </c>
      <c r="C107" s="7">
        <f>((((C86)+(C87))+(C96))+(C97))+(C106)</f>
        <v>41650</v>
      </c>
      <c r="D107" s="7">
        <f t="shared" si="52"/>
        <v>-38235.35</v>
      </c>
      <c r="E107" s="8">
        <f t="shared" si="53"/>
        <v>8.1984393757503007E-2</v>
      </c>
      <c r="F107" s="7">
        <f>((((F86)+(F87))+(F96))+(F97))+(F106)</f>
        <v>3497.51</v>
      </c>
      <c r="G107" s="7">
        <f>((((G86)+(G87))+(G96))+(G97))+(G106)</f>
        <v>0</v>
      </c>
      <c r="H107" s="7">
        <f t="shared" si="54"/>
        <v>3497.51</v>
      </c>
      <c r="I107" s="8" t="str">
        <f t="shared" si="55"/>
        <v/>
      </c>
      <c r="J107" s="7">
        <f>((((J86)+(J87))+(J96))+(J97))+(J106)</f>
        <v>4833.43</v>
      </c>
      <c r="K107" s="7">
        <f>((((K86)+(K87))+(K96))+(K97))+(K106)</f>
        <v>0</v>
      </c>
      <c r="L107" s="7">
        <f t="shared" si="56"/>
        <v>4833.43</v>
      </c>
      <c r="M107" s="8" t="str">
        <f t="shared" si="57"/>
        <v/>
      </c>
      <c r="N107" s="7">
        <f>((((N86)+(N87))+(N96))+(N97))+(N106)</f>
        <v>5005.880000000001</v>
      </c>
      <c r="O107" s="7">
        <f>((((O86)+(O87))+(O96))+(O97))+(O106)</f>
        <v>0</v>
      </c>
      <c r="P107" s="7">
        <f t="shared" si="58"/>
        <v>5005.880000000001</v>
      </c>
      <c r="Q107" s="8" t="str">
        <f t="shared" si="59"/>
        <v/>
      </c>
      <c r="R107" s="7">
        <f>((((R86)+(R87))+(R96))+(R97))+(R106)</f>
        <v>4746.04</v>
      </c>
      <c r="S107" s="7">
        <f>((((S86)+(S87))+(S96))+(S97))+(S106)</f>
        <v>0</v>
      </c>
      <c r="T107" s="7">
        <f t="shared" si="60"/>
        <v>4746.04</v>
      </c>
      <c r="U107" s="8" t="str">
        <f t="shared" si="61"/>
        <v/>
      </c>
      <c r="V107" s="7">
        <f>((((V86)+(V87))+(V96))+(V97))+(V106)</f>
        <v>2792.17</v>
      </c>
      <c r="W107" s="7">
        <f>((((W86)+(W87))+(W96))+(W97))+(W106)</f>
        <v>0</v>
      </c>
      <c r="X107" s="7">
        <f t="shared" si="62"/>
        <v>2792.17</v>
      </c>
      <c r="Y107" s="8" t="str">
        <f t="shared" si="63"/>
        <v/>
      </c>
      <c r="Z107" s="7">
        <f>((((Z86)+(Z87))+(Z96))+(Z97))+(Z106)</f>
        <v>3656.7500000000005</v>
      </c>
      <c r="AA107" s="7">
        <f>((((AA86)+(AA87))+(AA96))+(AA97))+(AA106)</f>
        <v>0</v>
      </c>
      <c r="AB107" s="7">
        <f t="shared" si="64"/>
        <v>3656.7500000000005</v>
      </c>
      <c r="AC107" s="8" t="str">
        <f t="shared" si="65"/>
        <v/>
      </c>
      <c r="AD107" s="7">
        <f>((((AD86)+(AD87))+(AD96))+(AD97))+(AD106)</f>
        <v>4354.17</v>
      </c>
      <c r="AE107" s="7">
        <f>((((AE86)+(AE87))+(AE96))+(AE97))+(AE106)</f>
        <v>0</v>
      </c>
      <c r="AF107" s="7">
        <f t="shared" si="66"/>
        <v>4354.17</v>
      </c>
      <c r="AG107" s="8" t="str">
        <f t="shared" si="67"/>
        <v/>
      </c>
      <c r="AH107" s="7">
        <f>((((AH86)+(AH87))+(AH96))+(AH97))+(AH106)</f>
        <v>3126.23</v>
      </c>
      <c r="AI107" s="7">
        <f>((((AI86)+(AI87))+(AI96))+(AI97))+(AI106)</f>
        <v>0</v>
      </c>
      <c r="AJ107" s="7">
        <f t="shared" si="68"/>
        <v>3126.23</v>
      </c>
      <c r="AK107" s="8" t="str">
        <f t="shared" si="69"/>
        <v/>
      </c>
      <c r="AL107" s="7">
        <f>((((AL86)+(AL87))+(AL96))+(AL97))+(AL106)</f>
        <v>3610.45</v>
      </c>
      <c r="AM107" s="7">
        <f>((((AM86)+(AM87))+(AM96))+(AM97))+(AM106)</f>
        <v>0</v>
      </c>
      <c r="AN107" s="7">
        <f t="shared" si="70"/>
        <v>3610.45</v>
      </c>
      <c r="AO107" s="8" t="str">
        <f t="shared" si="71"/>
        <v/>
      </c>
      <c r="AP107" s="7">
        <f>((((AP86)+(AP87))+(AP96))+(AP97))+(AP106)</f>
        <v>3908.01</v>
      </c>
      <c r="AQ107" s="7">
        <f>((((AQ86)+(AQ87))+(AQ96))+(AQ97))+(AQ106)</f>
        <v>0</v>
      </c>
      <c r="AR107" s="7">
        <f t="shared" si="72"/>
        <v>3908.01</v>
      </c>
      <c r="AS107" s="8" t="str">
        <f t="shared" si="73"/>
        <v/>
      </c>
      <c r="AT107" s="7">
        <f t="shared" si="74"/>
        <v>42945.29</v>
      </c>
      <c r="AU107" s="7">
        <f t="shared" si="75"/>
        <v>41650</v>
      </c>
      <c r="AV107" s="7">
        <f t="shared" si="76"/>
        <v>1295.2900000000009</v>
      </c>
      <c r="AW107" s="8">
        <f t="shared" si="77"/>
        <v>1.0310993997599041</v>
      </c>
    </row>
    <row r="108" spans="1:49" x14ac:dyDescent="0.25">
      <c r="A108" s="3" t="s">
        <v>117</v>
      </c>
      <c r="B108" s="4"/>
      <c r="C108" s="4"/>
      <c r="D108" s="5">
        <f t="shared" si="52"/>
        <v>0</v>
      </c>
      <c r="E108" s="6" t="str">
        <f t="shared" si="53"/>
        <v/>
      </c>
      <c r="F108" s="4"/>
      <c r="G108" s="4"/>
      <c r="H108" s="5">
        <f t="shared" si="54"/>
        <v>0</v>
      </c>
      <c r="I108" s="6" t="str">
        <f t="shared" si="55"/>
        <v/>
      </c>
      <c r="J108" s="4"/>
      <c r="K108" s="4"/>
      <c r="L108" s="5">
        <f t="shared" si="56"/>
        <v>0</v>
      </c>
      <c r="M108" s="6" t="str">
        <f t="shared" si="57"/>
        <v/>
      </c>
      <c r="N108" s="4"/>
      <c r="O108" s="4"/>
      <c r="P108" s="5">
        <f t="shared" si="58"/>
        <v>0</v>
      </c>
      <c r="Q108" s="6" t="str">
        <f t="shared" si="59"/>
        <v/>
      </c>
      <c r="R108" s="4"/>
      <c r="S108" s="4"/>
      <c r="T108" s="5">
        <f t="shared" si="60"/>
        <v>0</v>
      </c>
      <c r="U108" s="6" t="str">
        <f t="shared" si="61"/>
        <v/>
      </c>
      <c r="V108" s="4"/>
      <c r="W108" s="4"/>
      <c r="X108" s="5">
        <f t="shared" si="62"/>
        <v>0</v>
      </c>
      <c r="Y108" s="6" t="str">
        <f t="shared" si="63"/>
        <v/>
      </c>
      <c r="Z108" s="4"/>
      <c r="AA108" s="4"/>
      <c r="AB108" s="5">
        <f t="shared" si="64"/>
        <v>0</v>
      </c>
      <c r="AC108" s="6" t="str">
        <f t="shared" si="65"/>
        <v/>
      </c>
      <c r="AD108" s="4"/>
      <c r="AE108" s="4"/>
      <c r="AF108" s="5">
        <f t="shared" si="66"/>
        <v>0</v>
      </c>
      <c r="AG108" s="6" t="str">
        <f t="shared" si="67"/>
        <v/>
      </c>
      <c r="AH108" s="4"/>
      <c r="AI108" s="4"/>
      <c r="AJ108" s="5">
        <f t="shared" si="68"/>
        <v>0</v>
      </c>
      <c r="AK108" s="6" t="str">
        <f t="shared" si="69"/>
        <v/>
      </c>
      <c r="AL108" s="4"/>
      <c r="AM108" s="4"/>
      <c r="AN108" s="5">
        <f t="shared" si="70"/>
        <v>0</v>
      </c>
      <c r="AO108" s="6" t="str">
        <f t="shared" si="71"/>
        <v/>
      </c>
      <c r="AP108" s="4"/>
      <c r="AQ108" s="4"/>
      <c r="AR108" s="5">
        <f t="shared" si="72"/>
        <v>0</v>
      </c>
      <c r="AS108" s="6" t="str">
        <f t="shared" si="73"/>
        <v/>
      </c>
      <c r="AT108" s="5">
        <f t="shared" si="74"/>
        <v>0</v>
      </c>
      <c r="AU108" s="5">
        <f t="shared" si="75"/>
        <v>0</v>
      </c>
      <c r="AV108" s="5">
        <f t="shared" si="76"/>
        <v>0</v>
      </c>
      <c r="AW108" s="6" t="str">
        <f t="shared" si="77"/>
        <v/>
      </c>
    </row>
    <row r="109" spans="1:49" x14ac:dyDescent="0.25">
      <c r="A109" s="3" t="s">
        <v>118</v>
      </c>
      <c r="B109" s="4"/>
      <c r="C109" s="5">
        <f>2000</f>
        <v>2000</v>
      </c>
      <c r="D109" s="5">
        <f t="shared" si="52"/>
        <v>-2000</v>
      </c>
      <c r="E109" s="6">
        <f t="shared" si="53"/>
        <v>0</v>
      </c>
      <c r="F109" s="4"/>
      <c r="G109" s="5">
        <f>0</f>
        <v>0</v>
      </c>
      <c r="H109" s="5">
        <f t="shared" si="54"/>
        <v>0</v>
      </c>
      <c r="I109" s="6" t="str">
        <f t="shared" si="55"/>
        <v/>
      </c>
      <c r="J109" s="4"/>
      <c r="K109" s="5">
        <f>0</f>
        <v>0</v>
      </c>
      <c r="L109" s="5">
        <f t="shared" si="56"/>
        <v>0</v>
      </c>
      <c r="M109" s="6" t="str">
        <f t="shared" si="57"/>
        <v/>
      </c>
      <c r="N109" s="4"/>
      <c r="O109" s="5">
        <f>0</f>
        <v>0</v>
      </c>
      <c r="P109" s="5">
        <f t="shared" si="58"/>
        <v>0</v>
      </c>
      <c r="Q109" s="6" t="str">
        <f t="shared" si="59"/>
        <v/>
      </c>
      <c r="R109" s="4"/>
      <c r="S109" s="5">
        <f>0</f>
        <v>0</v>
      </c>
      <c r="T109" s="5">
        <f t="shared" si="60"/>
        <v>0</v>
      </c>
      <c r="U109" s="6" t="str">
        <f t="shared" si="61"/>
        <v/>
      </c>
      <c r="V109" s="4"/>
      <c r="W109" s="5">
        <f>0</f>
        <v>0</v>
      </c>
      <c r="X109" s="5">
        <f t="shared" si="62"/>
        <v>0</v>
      </c>
      <c r="Y109" s="6" t="str">
        <f t="shared" si="63"/>
        <v/>
      </c>
      <c r="Z109" s="4"/>
      <c r="AA109" s="5">
        <f>0</f>
        <v>0</v>
      </c>
      <c r="AB109" s="5">
        <f t="shared" si="64"/>
        <v>0</v>
      </c>
      <c r="AC109" s="6" t="str">
        <f t="shared" si="65"/>
        <v/>
      </c>
      <c r="AD109" s="4"/>
      <c r="AE109" s="5">
        <f>0</f>
        <v>0</v>
      </c>
      <c r="AF109" s="5">
        <f t="shared" si="66"/>
        <v>0</v>
      </c>
      <c r="AG109" s="6" t="str">
        <f t="shared" si="67"/>
        <v/>
      </c>
      <c r="AH109" s="4"/>
      <c r="AI109" s="5">
        <f>0</f>
        <v>0</v>
      </c>
      <c r="AJ109" s="5">
        <f t="shared" si="68"/>
        <v>0</v>
      </c>
      <c r="AK109" s="6" t="str">
        <f t="shared" si="69"/>
        <v/>
      </c>
      <c r="AL109" s="4"/>
      <c r="AM109" s="5">
        <f>0</f>
        <v>0</v>
      </c>
      <c r="AN109" s="5">
        <f t="shared" si="70"/>
        <v>0</v>
      </c>
      <c r="AO109" s="6" t="str">
        <f t="shared" si="71"/>
        <v/>
      </c>
      <c r="AP109" s="4"/>
      <c r="AQ109" s="5">
        <f>0</f>
        <v>0</v>
      </c>
      <c r="AR109" s="5">
        <f t="shared" si="72"/>
        <v>0</v>
      </c>
      <c r="AS109" s="6" t="str">
        <f t="shared" si="73"/>
        <v/>
      </c>
      <c r="AT109" s="5">
        <f t="shared" si="74"/>
        <v>0</v>
      </c>
      <c r="AU109" s="5">
        <f t="shared" si="75"/>
        <v>2000</v>
      </c>
      <c r="AV109" s="5">
        <f t="shared" si="76"/>
        <v>-2000</v>
      </c>
      <c r="AW109" s="6">
        <f t="shared" si="77"/>
        <v>0</v>
      </c>
    </row>
    <row r="110" spans="1:49" x14ac:dyDescent="0.25">
      <c r="A110" s="3" t="s">
        <v>119</v>
      </c>
      <c r="B110" s="4"/>
      <c r="C110" s="4"/>
      <c r="D110" s="5">
        <f t="shared" si="52"/>
        <v>0</v>
      </c>
      <c r="E110" s="6" t="str">
        <f t="shared" si="53"/>
        <v/>
      </c>
      <c r="F110" s="4"/>
      <c r="G110" s="4"/>
      <c r="H110" s="5">
        <f t="shared" si="54"/>
        <v>0</v>
      </c>
      <c r="I110" s="6" t="str">
        <f t="shared" si="55"/>
        <v/>
      </c>
      <c r="J110" s="4"/>
      <c r="K110" s="4"/>
      <c r="L110" s="5">
        <f t="shared" si="56"/>
        <v>0</v>
      </c>
      <c r="M110" s="6" t="str">
        <f t="shared" si="57"/>
        <v/>
      </c>
      <c r="N110" s="5">
        <f>66.7</f>
        <v>66.7</v>
      </c>
      <c r="O110" s="4"/>
      <c r="P110" s="5">
        <f t="shared" si="58"/>
        <v>66.7</v>
      </c>
      <c r="Q110" s="6" t="str">
        <f t="shared" si="59"/>
        <v/>
      </c>
      <c r="R110" s="4"/>
      <c r="S110" s="4"/>
      <c r="T110" s="5">
        <f t="shared" si="60"/>
        <v>0</v>
      </c>
      <c r="U110" s="6" t="str">
        <f t="shared" si="61"/>
        <v/>
      </c>
      <c r="V110" s="4"/>
      <c r="W110" s="4"/>
      <c r="X110" s="5">
        <f t="shared" si="62"/>
        <v>0</v>
      </c>
      <c r="Y110" s="6" t="str">
        <f t="shared" si="63"/>
        <v/>
      </c>
      <c r="Z110" s="5">
        <f>46.2</f>
        <v>46.2</v>
      </c>
      <c r="AA110" s="4"/>
      <c r="AB110" s="5">
        <f t="shared" si="64"/>
        <v>46.2</v>
      </c>
      <c r="AC110" s="6" t="str">
        <f t="shared" si="65"/>
        <v/>
      </c>
      <c r="AD110" s="4"/>
      <c r="AE110" s="4"/>
      <c r="AF110" s="5">
        <f t="shared" si="66"/>
        <v>0</v>
      </c>
      <c r="AG110" s="6" t="str">
        <f t="shared" si="67"/>
        <v/>
      </c>
      <c r="AH110" s="5">
        <f>19.99</f>
        <v>19.989999999999998</v>
      </c>
      <c r="AI110" s="4"/>
      <c r="AJ110" s="5">
        <f t="shared" si="68"/>
        <v>19.989999999999998</v>
      </c>
      <c r="AK110" s="6" t="str">
        <f t="shared" si="69"/>
        <v/>
      </c>
      <c r="AL110" s="5">
        <f>854.92</f>
        <v>854.92</v>
      </c>
      <c r="AM110" s="4"/>
      <c r="AN110" s="5">
        <f t="shared" si="70"/>
        <v>854.92</v>
      </c>
      <c r="AO110" s="6" t="str">
        <f t="shared" si="71"/>
        <v/>
      </c>
      <c r="AP110" s="4"/>
      <c r="AQ110" s="4"/>
      <c r="AR110" s="5">
        <f t="shared" si="72"/>
        <v>0</v>
      </c>
      <c r="AS110" s="6" t="str">
        <f t="shared" si="73"/>
        <v/>
      </c>
      <c r="AT110" s="5">
        <f t="shared" si="74"/>
        <v>987.81</v>
      </c>
      <c r="AU110" s="5">
        <f t="shared" si="75"/>
        <v>0</v>
      </c>
      <c r="AV110" s="5">
        <f t="shared" si="76"/>
        <v>987.81</v>
      </c>
      <c r="AW110" s="6" t="str">
        <f t="shared" si="77"/>
        <v/>
      </c>
    </row>
    <row r="111" spans="1:49" x14ac:dyDescent="0.25">
      <c r="A111" s="3" t="s">
        <v>120</v>
      </c>
      <c r="B111" s="5">
        <f>-24.12</f>
        <v>-24.12</v>
      </c>
      <c r="C111" s="5">
        <f>7000</f>
        <v>7000</v>
      </c>
      <c r="D111" s="5">
        <f t="shared" si="52"/>
        <v>-7024.12</v>
      </c>
      <c r="E111" s="6">
        <f t="shared" si="53"/>
        <v>-3.4457142857142859E-3</v>
      </c>
      <c r="F111" s="5">
        <f>104.39</f>
        <v>104.39</v>
      </c>
      <c r="G111" s="5">
        <f>0</f>
        <v>0</v>
      </c>
      <c r="H111" s="5">
        <f t="shared" si="54"/>
        <v>104.39</v>
      </c>
      <c r="I111" s="6" t="str">
        <f t="shared" si="55"/>
        <v/>
      </c>
      <c r="J111" s="4"/>
      <c r="K111" s="5">
        <f>0</f>
        <v>0</v>
      </c>
      <c r="L111" s="5">
        <f t="shared" si="56"/>
        <v>0</v>
      </c>
      <c r="M111" s="6" t="str">
        <f t="shared" si="57"/>
        <v/>
      </c>
      <c r="N111" s="5">
        <f>473.96</f>
        <v>473.96</v>
      </c>
      <c r="O111" s="5">
        <f>0</f>
        <v>0</v>
      </c>
      <c r="P111" s="5">
        <f t="shared" si="58"/>
        <v>473.96</v>
      </c>
      <c r="Q111" s="6" t="str">
        <f t="shared" si="59"/>
        <v/>
      </c>
      <c r="R111" s="5">
        <f>715.03</f>
        <v>715.03</v>
      </c>
      <c r="S111" s="5">
        <f>0</f>
        <v>0</v>
      </c>
      <c r="T111" s="5">
        <f t="shared" si="60"/>
        <v>715.03</v>
      </c>
      <c r="U111" s="6" t="str">
        <f t="shared" si="61"/>
        <v/>
      </c>
      <c r="V111" s="5">
        <f>77.99</f>
        <v>77.989999999999995</v>
      </c>
      <c r="W111" s="5">
        <f>0</f>
        <v>0</v>
      </c>
      <c r="X111" s="5">
        <f t="shared" si="62"/>
        <v>77.989999999999995</v>
      </c>
      <c r="Y111" s="6" t="str">
        <f t="shared" si="63"/>
        <v/>
      </c>
      <c r="Z111" s="5">
        <f>1080.27</f>
        <v>1080.27</v>
      </c>
      <c r="AA111" s="5">
        <f>0</f>
        <v>0</v>
      </c>
      <c r="AB111" s="5">
        <f t="shared" si="64"/>
        <v>1080.27</v>
      </c>
      <c r="AC111" s="6" t="str">
        <f t="shared" si="65"/>
        <v/>
      </c>
      <c r="AD111" s="5">
        <f>779.29</f>
        <v>779.29</v>
      </c>
      <c r="AE111" s="5">
        <f>0</f>
        <v>0</v>
      </c>
      <c r="AF111" s="5">
        <f t="shared" si="66"/>
        <v>779.29</v>
      </c>
      <c r="AG111" s="6" t="str">
        <f t="shared" si="67"/>
        <v/>
      </c>
      <c r="AH111" s="5">
        <f>1112.79</f>
        <v>1112.79</v>
      </c>
      <c r="AI111" s="5">
        <f>0</f>
        <v>0</v>
      </c>
      <c r="AJ111" s="5">
        <f t="shared" si="68"/>
        <v>1112.79</v>
      </c>
      <c r="AK111" s="6" t="str">
        <f t="shared" si="69"/>
        <v/>
      </c>
      <c r="AL111" s="5">
        <f>1529.55</f>
        <v>1529.55</v>
      </c>
      <c r="AM111" s="5">
        <f>0</f>
        <v>0</v>
      </c>
      <c r="AN111" s="5">
        <f t="shared" si="70"/>
        <v>1529.55</v>
      </c>
      <c r="AO111" s="6" t="str">
        <f t="shared" si="71"/>
        <v/>
      </c>
      <c r="AP111" s="5">
        <f>503.19</f>
        <v>503.19</v>
      </c>
      <c r="AQ111" s="5">
        <f>0</f>
        <v>0</v>
      </c>
      <c r="AR111" s="5">
        <f t="shared" si="72"/>
        <v>503.19</v>
      </c>
      <c r="AS111" s="6" t="str">
        <f t="shared" si="73"/>
        <v/>
      </c>
      <c r="AT111" s="5">
        <f t="shared" si="74"/>
        <v>6352.34</v>
      </c>
      <c r="AU111" s="5">
        <f t="shared" si="75"/>
        <v>7000</v>
      </c>
      <c r="AV111" s="5">
        <f t="shared" si="76"/>
        <v>-647.65999999999985</v>
      </c>
      <c r="AW111" s="6">
        <f t="shared" si="77"/>
        <v>0.90747714285714287</v>
      </c>
    </row>
    <row r="112" spans="1:49" x14ac:dyDescent="0.25">
      <c r="A112" s="3" t="s">
        <v>121</v>
      </c>
      <c r="B112" s="4"/>
      <c r="C112" s="5">
        <f>200</f>
        <v>200</v>
      </c>
      <c r="D112" s="5">
        <f t="shared" si="52"/>
        <v>-200</v>
      </c>
      <c r="E112" s="6">
        <f t="shared" si="53"/>
        <v>0</v>
      </c>
      <c r="F112" s="4"/>
      <c r="G112" s="5">
        <f>0</f>
        <v>0</v>
      </c>
      <c r="H112" s="5">
        <f t="shared" si="54"/>
        <v>0</v>
      </c>
      <c r="I112" s="6" t="str">
        <f t="shared" si="55"/>
        <v/>
      </c>
      <c r="J112" s="4"/>
      <c r="K112" s="5">
        <f>0</f>
        <v>0</v>
      </c>
      <c r="L112" s="5">
        <f t="shared" si="56"/>
        <v>0</v>
      </c>
      <c r="M112" s="6" t="str">
        <f t="shared" si="57"/>
        <v/>
      </c>
      <c r="N112" s="4"/>
      <c r="O112" s="5">
        <f>0</f>
        <v>0</v>
      </c>
      <c r="P112" s="5">
        <f t="shared" si="58"/>
        <v>0</v>
      </c>
      <c r="Q112" s="6" t="str">
        <f t="shared" si="59"/>
        <v/>
      </c>
      <c r="R112" s="4"/>
      <c r="S112" s="5">
        <f>0</f>
        <v>0</v>
      </c>
      <c r="T112" s="5">
        <f t="shared" si="60"/>
        <v>0</v>
      </c>
      <c r="U112" s="6" t="str">
        <f t="shared" si="61"/>
        <v/>
      </c>
      <c r="V112" s="4"/>
      <c r="W112" s="5">
        <f>0</f>
        <v>0</v>
      </c>
      <c r="X112" s="5">
        <f t="shared" si="62"/>
        <v>0</v>
      </c>
      <c r="Y112" s="6" t="str">
        <f t="shared" si="63"/>
        <v/>
      </c>
      <c r="Z112" s="4"/>
      <c r="AA112" s="5">
        <f>0</f>
        <v>0</v>
      </c>
      <c r="AB112" s="5">
        <f t="shared" si="64"/>
        <v>0</v>
      </c>
      <c r="AC112" s="6" t="str">
        <f t="shared" si="65"/>
        <v/>
      </c>
      <c r="AD112" s="4"/>
      <c r="AE112" s="5">
        <f>0</f>
        <v>0</v>
      </c>
      <c r="AF112" s="5">
        <f t="shared" si="66"/>
        <v>0</v>
      </c>
      <c r="AG112" s="6" t="str">
        <f t="shared" si="67"/>
        <v/>
      </c>
      <c r="AH112" s="4"/>
      <c r="AI112" s="5">
        <f>0</f>
        <v>0</v>
      </c>
      <c r="AJ112" s="5">
        <f t="shared" si="68"/>
        <v>0</v>
      </c>
      <c r="AK112" s="6" t="str">
        <f t="shared" si="69"/>
        <v/>
      </c>
      <c r="AL112" s="4"/>
      <c r="AM112" s="5">
        <f>0</f>
        <v>0</v>
      </c>
      <c r="AN112" s="5">
        <f t="shared" si="70"/>
        <v>0</v>
      </c>
      <c r="AO112" s="6" t="str">
        <f t="shared" si="71"/>
        <v/>
      </c>
      <c r="AP112" s="4"/>
      <c r="AQ112" s="5">
        <f>0</f>
        <v>0</v>
      </c>
      <c r="AR112" s="5">
        <f t="shared" si="72"/>
        <v>0</v>
      </c>
      <c r="AS112" s="6" t="str">
        <f t="shared" si="73"/>
        <v/>
      </c>
      <c r="AT112" s="5">
        <f t="shared" si="74"/>
        <v>0</v>
      </c>
      <c r="AU112" s="5">
        <f t="shared" si="75"/>
        <v>200</v>
      </c>
      <c r="AV112" s="5">
        <f t="shared" si="76"/>
        <v>-200</v>
      </c>
      <c r="AW112" s="6">
        <f t="shared" si="77"/>
        <v>0</v>
      </c>
    </row>
    <row r="113" spans="1:49" x14ac:dyDescent="0.25">
      <c r="A113" s="3" t="s">
        <v>122</v>
      </c>
      <c r="B113" s="5">
        <f>3000</f>
        <v>3000</v>
      </c>
      <c r="C113" s="5">
        <f>3000</f>
        <v>3000</v>
      </c>
      <c r="D113" s="5">
        <f t="shared" si="52"/>
        <v>0</v>
      </c>
      <c r="E113" s="6">
        <f t="shared" si="53"/>
        <v>1</v>
      </c>
      <c r="F113" s="4"/>
      <c r="G113" s="5">
        <f>0</f>
        <v>0</v>
      </c>
      <c r="H113" s="5">
        <f t="shared" si="54"/>
        <v>0</v>
      </c>
      <c r="I113" s="6" t="str">
        <f t="shared" si="55"/>
        <v/>
      </c>
      <c r="J113" s="4"/>
      <c r="K113" s="5">
        <f>0</f>
        <v>0</v>
      </c>
      <c r="L113" s="5">
        <f t="shared" si="56"/>
        <v>0</v>
      </c>
      <c r="M113" s="6" t="str">
        <f t="shared" si="57"/>
        <v/>
      </c>
      <c r="N113" s="4"/>
      <c r="O113" s="5">
        <f>0</f>
        <v>0</v>
      </c>
      <c r="P113" s="5">
        <f t="shared" si="58"/>
        <v>0</v>
      </c>
      <c r="Q113" s="6" t="str">
        <f t="shared" si="59"/>
        <v/>
      </c>
      <c r="R113" s="4"/>
      <c r="S113" s="5">
        <f>0</f>
        <v>0</v>
      </c>
      <c r="T113" s="5">
        <f t="shared" si="60"/>
        <v>0</v>
      </c>
      <c r="U113" s="6" t="str">
        <f t="shared" si="61"/>
        <v/>
      </c>
      <c r="V113" s="4"/>
      <c r="W113" s="5">
        <f>0</f>
        <v>0</v>
      </c>
      <c r="X113" s="5">
        <f t="shared" si="62"/>
        <v>0</v>
      </c>
      <c r="Y113" s="6" t="str">
        <f t="shared" si="63"/>
        <v/>
      </c>
      <c r="Z113" s="4"/>
      <c r="AA113" s="5">
        <f>0</f>
        <v>0</v>
      </c>
      <c r="AB113" s="5">
        <f t="shared" si="64"/>
        <v>0</v>
      </c>
      <c r="AC113" s="6" t="str">
        <f t="shared" si="65"/>
        <v/>
      </c>
      <c r="AD113" s="4"/>
      <c r="AE113" s="5">
        <f>0</f>
        <v>0</v>
      </c>
      <c r="AF113" s="5">
        <f t="shared" si="66"/>
        <v>0</v>
      </c>
      <c r="AG113" s="6" t="str">
        <f t="shared" si="67"/>
        <v/>
      </c>
      <c r="AH113" s="4"/>
      <c r="AI113" s="5">
        <f>0</f>
        <v>0</v>
      </c>
      <c r="AJ113" s="5">
        <f t="shared" si="68"/>
        <v>0</v>
      </c>
      <c r="AK113" s="6" t="str">
        <f t="shared" si="69"/>
        <v/>
      </c>
      <c r="AL113" s="4"/>
      <c r="AM113" s="5">
        <f>0</f>
        <v>0</v>
      </c>
      <c r="AN113" s="5">
        <f t="shared" si="70"/>
        <v>0</v>
      </c>
      <c r="AO113" s="6" t="str">
        <f t="shared" si="71"/>
        <v/>
      </c>
      <c r="AP113" s="4"/>
      <c r="AQ113" s="5">
        <f>0</f>
        <v>0</v>
      </c>
      <c r="AR113" s="5">
        <f t="shared" si="72"/>
        <v>0</v>
      </c>
      <c r="AS113" s="6" t="str">
        <f t="shared" si="73"/>
        <v/>
      </c>
      <c r="AT113" s="5">
        <f t="shared" si="74"/>
        <v>3000</v>
      </c>
      <c r="AU113" s="5">
        <f t="shared" si="75"/>
        <v>3000</v>
      </c>
      <c r="AV113" s="5">
        <f t="shared" si="76"/>
        <v>0</v>
      </c>
      <c r="AW113" s="6">
        <f t="shared" si="77"/>
        <v>1</v>
      </c>
    </row>
    <row r="114" spans="1:49" x14ac:dyDescent="0.25">
      <c r="A114" s="3" t="s">
        <v>123</v>
      </c>
      <c r="B114" s="5">
        <f>106</f>
        <v>106</v>
      </c>
      <c r="C114" s="5">
        <f>2000</f>
        <v>2000</v>
      </c>
      <c r="D114" s="5">
        <f t="shared" si="52"/>
        <v>-1894</v>
      </c>
      <c r="E114" s="6">
        <f t="shared" si="53"/>
        <v>5.2999999999999999E-2</v>
      </c>
      <c r="F114" s="5">
        <f>52</f>
        <v>52</v>
      </c>
      <c r="G114" s="5">
        <f>0</f>
        <v>0</v>
      </c>
      <c r="H114" s="5">
        <f t="shared" si="54"/>
        <v>52</v>
      </c>
      <c r="I114" s="6" t="str">
        <f t="shared" si="55"/>
        <v/>
      </c>
      <c r="J114" s="5">
        <f>104</f>
        <v>104</v>
      </c>
      <c r="K114" s="5">
        <f>0</f>
        <v>0</v>
      </c>
      <c r="L114" s="5">
        <f t="shared" si="56"/>
        <v>104</v>
      </c>
      <c r="M114" s="6" t="str">
        <f t="shared" si="57"/>
        <v/>
      </c>
      <c r="N114" s="5">
        <f>121</f>
        <v>121</v>
      </c>
      <c r="O114" s="5">
        <f>0</f>
        <v>0</v>
      </c>
      <c r="P114" s="5">
        <f t="shared" si="58"/>
        <v>121</v>
      </c>
      <c r="Q114" s="6" t="str">
        <f t="shared" si="59"/>
        <v/>
      </c>
      <c r="R114" s="5">
        <f>89</f>
        <v>89</v>
      </c>
      <c r="S114" s="5">
        <f>0</f>
        <v>0</v>
      </c>
      <c r="T114" s="5">
        <f t="shared" si="60"/>
        <v>89</v>
      </c>
      <c r="U114" s="6" t="str">
        <f t="shared" si="61"/>
        <v/>
      </c>
      <c r="V114" s="5">
        <f>87</f>
        <v>87</v>
      </c>
      <c r="W114" s="5">
        <f>0</f>
        <v>0</v>
      </c>
      <c r="X114" s="5">
        <f t="shared" si="62"/>
        <v>87</v>
      </c>
      <c r="Y114" s="6" t="str">
        <f t="shared" si="63"/>
        <v/>
      </c>
      <c r="Z114" s="5">
        <f>81</f>
        <v>81</v>
      </c>
      <c r="AA114" s="5">
        <f>0</f>
        <v>0</v>
      </c>
      <c r="AB114" s="5">
        <f t="shared" si="64"/>
        <v>81</v>
      </c>
      <c r="AC114" s="6" t="str">
        <f t="shared" si="65"/>
        <v/>
      </c>
      <c r="AD114" s="5">
        <f>104</f>
        <v>104</v>
      </c>
      <c r="AE114" s="5">
        <f>0</f>
        <v>0</v>
      </c>
      <c r="AF114" s="5">
        <f t="shared" si="66"/>
        <v>104</v>
      </c>
      <c r="AG114" s="6" t="str">
        <f t="shared" si="67"/>
        <v/>
      </c>
      <c r="AH114" s="5">
        <f>59</f>
        <v>59</v>
      </c>
      <c r="AI114" s="5">
        <f>0</f>
        <v>0</v>
      </c>
      <c r="AJ114" s="5">
        <f t="shared" si="68"/>
        <v>59</v>
      </c>
      <c r="AK114" s="6" t="str">
        <f t="shared" si="69"/>
        <v/>
      </c>
      <c r="AL114" s="4"/>
      <c r="AM114" s="5">
        <f>0</f>
        <v>0</v>
      </c>
      <c r="AN114" s="5">
        <f t="shared" si="70"/>
        <v>0</v>
      </c>
      <c r="AO114" s="6" t="str">
        <f t="shared" si="71"/>
        <v/>
      </c>
      <c r="AP114" s="5">
        <f>75</f>
        <v>75</v>
      </c>
      <c r="AQ114" s="5">
        <f>0</f>
        <v>0</v>
      </c>
      <c r="AR114" s="5">
        <f t="shared" si="72"/>
        <v>75</v>
      </c>
      <c r="AS114" s="6" t="str">
        <f t="shared" si="73"/>
        <v/>
      </c>
      <c r="AT114" s="5">
        <f t="shared" si="74"/>
        <v>878</v>
      </c>
      <c r="AU114" s="5">
        <f t="shared" si="75"/>
        <v>2000</v>
      </c>
      <c r="AV114" s="5">
        <f t="shared" si="76"/>
        <v>-1122</v>
      </c>
      <c r="AW114" s="6">
        <f t="shared" si="77"/>
        <v>0.439</v>
      </c>
    </row>
    <row r="115" spans="1:49" x14ac:dyDescent="0.25">
      <c r="A115" s="3" t="s">
        <v>124</v>
      </c>
      <c r="B115" s="4"/>
      <c r="C115" s="5">
        <f>50</f>
        <v>50</v>
      </c>
      <c r="D115" s="5">
        <f t="shared" si="52"/>
        <v>-50</v>
      </c>
      <c r="E115" s="6">
        <f t="shared" si="53"/>
        <v>0</v>
      </c>
      <c r="F115" s="4"/>
      <c r="G115" s="5">
        <f>0</f>
        <v>0</v>
      </c>
      <c r="H115" s="5">
        <f t="shared" si="54"/>
        <v>0</v>
      </c>
      <c r="I115" s="6" t="str">
        <f t="shared" si="55"/>
        <v/>
      </c>
      <c r="J115" s="4"/>
      <c r="K115" s="5">
        <f>0</f>
        <v>0</v>
      </c>
      <c r="L115" s="5">
        <f t="shared" si="56"/>
        <v>0</v>
      </c>
      <c r="M115" s="6" t="str">
        <f t="shared" si="57"/>
        <v/>
      </c>
      <c r="N115" s="4"/>
      <c r="O115" s="5">
        <f>0</f>
        <v>0</v>
      </c>
      <c r="P115" s="5">
        <f t="shared" si="58"/>
        <v>0</v>
      </c>
      <c r="Q115" s="6" t="str">
        <f t="shared" si="59"/>
        <v/>
      </c>
      <c r="R115" s="4"/>
      <c r="S115" s="5">
        <f>0</f>
        <v>0</v>
      </c>
      <c r="T115" s="5">
        <f t="shared" si="60"/>
        <v>0</v>
      </c>
      <c r="U115" s="6" t="str">
        <f t="shared" si="61"/>
        <v/>
      </c>
      <c r="V115" s="4"/>
      <c r="W115" s="5">
        <f>0</f>
        <v>0</v>
      </c>
      <c r="X115" s="5">
        <f t="shared" si="62"/>
        <v>0</v>
      </c>
      <c r="Y115" s="6" t="str">
        <f t="shared" si="63"/>
        <v/>
      </c>
      <c r="Z115" s="4"/>
      <c r="AA115" s="5">
        <f>0</f>
        <v>0</v>
      </c>
      <c r="AB115" s="5">
        <f t="shared" si="64"/>
        <v>0</v>
      </c>
      <c r="AC115" s="6" t="str">
        <f t="shared" si="65"/>
        <v/>
      </c>
      <c r="AD115" s="4"/>
      <c r="AE115" s="5">
        <f>0</f>
        <v>0</v>
      </c>
      <c r="AF115" s="5">
        <f t="shared" si="66"/>
        <v>0</v>
      </c>
      <c r="AG115" s="6" t="str">
        <f t="shared" si="67"/>
        <v/>
      </c>
      <c r="AH115" s="4"/>
      <c r="AI115" s="5">
        <f>0</f>
        <v>0</v>
      </c>
      <c r="AJ115" s="5">
        <f t="shared" si="68"/>
        <v>0</v>
      </c>
      <c r="AK115" s="6" t="str">
        <f t="shared" si="69"/>
        <v/>
      </c>
      <c r="AL115" s="4"/>
      <c r="AM115" s="5">
        <f>0</f>
        <v>0</v>
      </c>
      <c r="AN115" s="5">
        <f t="shared" si="70"/>
        <v>0</v>
      </c>
      <c r="AO115" s="6" t="str">
        <f t="shared" si="71"/>
        <v/>
      </c>
      <c r="AP115" s="4"/>
      <c r="AQ115" s="5">
        <f>0</f>
        <v>0</v>
      </c>
      <c r="AR115" s="5">
        <f t="shared" si="72"/>
        <v>0</v>
      </c>
      <c r="AS115" s="6" t="str">
        <f t="shared" si="73"/>
        <v/>
      </c>
      <c r="AT115" s="5">
        <f t="shared" si="74"/>
        <v>0</v>
      </c>
      <c r="AU115" s="5">
        <f t="shared" si="75"/>
        <v>50</v>
      </c>
      <c r="AV115" s="5">
        <f t="shared" si="76"/>
        <v>-50</v>
      </c>
      <c r="AW115" s="6">
        <f t="shared" si="77"/>
        <v>0</v>
      </c>
    </row>
    <row r="116" spans="1:49" x14ac:dyDescent="0.25">
      <c r="A116" s="3" t="s">
        <v>125</v>
      </c>
      <c r="B116" s="4"/>
      <c r="C116" s="5">
        <f>0</f>
        <v>0</v>
      </c>
      <c r="D116" s="5">
        <f t="shared" si="52"/>
        <v>0</v>
      </c>
      <c r="E116" s="6" t="str">
        <f t="shared" si="53"/>
        <v/>
      </c>
      <c r="F116" s="4"/>
      <c r="G116" s="5">
        <f>0</f>
        <v>0</v>
      </c>
      <c r="H116" s="5">
        <f t="shared" si="54"/>
        <v>0</v>
      </c>
      <c r="I116" s="6" t="str">
        <f t="shared" si="55"/>
        <v/>
      </c>
      <c r="J116" s="4"/>
      <c r="K116" s="5">
        <f>0</f>
        <v>0</v>
      </c>
      <c r="L116" s="5">
        <f t="shared" si="56"/>
        <v>0</v>
      </c>
      <c r="M116" s="6" t="str">
        <f t="shared" si="57"/>
        <v/>
      </c>
      <c r="N116" s="4"/>
      <c r="O116" s="5">
        <f>0</f>
        <v>0</v>
      </c>
      <c r="P116" s="5">
        <f t="shared" si="58"/>
        <v>0</v>
      </c>
      <c r="Q116" s="6" t="str">
        <f t="shared" si="59"/>
        <v/>
      </c>
      <c r="R116" s="4"/>
      <c r="S116" s="5">
        <f>0</f>
        <v>0</v>
      </c>
      <c r="T116" s="5">
        <f t="shared" si="60"/>
        <v>0</v>
      </c>
      <c r="U116" s="6" t="str">
        <f t="shared" si="61"/>
        <v/>
      </c>
      <c r="V116" s="4"/>
      <c r="W116" s="5">
        <f>0</f>
        <v>0</v>
      </c>
      <c r="X116" s="5">
        <f t="shared" si="62"/>
        <v>0</v>
      </c>
      <c r="Y116" s="6" t="str">
        <f t="shared" si="63"/>
        <v/>
      </c>
      <c r="Z116" s="4"/>
      <c r="AA116" s="5">
        <f>0</f>
        <v>0</v>
      </c>
      <c r="AB116" s="5">
        <f t="shared" si="64"/>
        <v>0</v>
      </c>
      <c r="AC116" s="6" t="str">
        <f t="shared" si="65"/>
        <v/>
      </c>
      <c r="AD116" s="4"/>
      <c r="AE116" s="5">
        <f>0</f>
        <v>0</v>
      </c>
      <c r="AF116" s="5">
        <f t="shared" si="66"/>
        <v>0</v>
      </c>
      <c r="AG116" s="6" t="str">
        <f t="shared" si="67"/>
        <v/>
      </c>
      <c r="AH116" s="4"/>
      <c r="AI116" s="5">
        <f>0</f>
        <v>0</v>
      </c>
      <c r="AJ116" s="5">
        <f t="shared" si="68"/>
        <v>0</v>
      </c>
      <c r="AK116" s="6" t="str">
        <f t="shared" si="69"/>
        <v/>
      </c>
      <c r="AL116" s="4"/>
      <c r="AM116" s="5">
        <f>0</f>
        <v>0</v>
      </c>
      <c r="AN116" s="5">
        <f t="shared" si="70"/>
        <v>0</v>
      </c>
      <c r="AO116" s="6" t="str">
        <f t="shared" si="71"/>
        <v/>
      </c>
      <c r="AP116" s="4"/>
      <c r="AQ116" s="5">
        <f>0</f>
        <v>0</v>
      </c>
      <c r="AR116" s="5">
        <f t="shared" si="72"/>
        <v>0</v>
      </c>
      <c r="AS116" s="6" t="str">
        <f t="shared" si="73"/>
        <v/>
      </c>
      <c r="AT116" s="5">
        <f t="shared" si="74"/>
        <v>0</v>
      </c>
      <c r="AU116" s="5">
        <f t="shared" si="75"/>
        <v>0</v>
      </c>
      <c r="AV116" s="5">
        <f t="shared" si="76"/>
        <v>0</v>
      </c>
      <c r="AW116" s="6" t="str">
        <f t="shared" si="77"/>
        <v/>
      </c>
    </row>
    <row r="117" spans="1:49" x14ac:dyDescent="0.25">
      <c r="A117" s="3" t="s">
        <v>126</v>
      </c>
      <c r="B117" s="4"/>
      <c r="C117" s="5">
        <f>0</f>
        <v>0</v>
      </c>
      <c r="D117" s="5">
        <f t="shared" si="52"/>
        <v>0</v>
      </c>
      <c r="E117" s="6" t="str">
        <f t="shared" si="53"/>
        <v/>
      </c>
      <c r="F117" s="4"/>
      <c r="G117" s="5">
        <f>0</f>
        <v>0</v>
      </c>
      <c r="H117" s="5">
        <f t="shared" si="54"/>
        <v>0</v>
      </c>
      <c r="I117" s="6" t="str">
        <f t="shared" si="55"/>
        <v/>
      </c>
      <c r="J117" s="4"/>
      <c r="K117" s="5">
        <f>0</f>
        <v>0</v>
      </c>
      <c r="L117" s="5">
        <f t="shared" si="56"/>
        <v>0</v>
      </c>
      <c r="M117" s="6" t="str">
        <f t="shared" si="57"/>
        <v/>
      </c>
      <c r="N117" s="4"/>
      <c r="O117" s="5">
        <f>0</f>
        <v>0</v>
      </c>
      <c r="P117" s="5">
        <f t="shared" si="58"/>
        <v>0</v>
      </c>
      <c r="Q117" s="6" t="str">
        <f t="shared" si="59"/>
        <v/>
      </c>
      <c r="R117" s="4"/>
      <c r="S117" s="5">
        <f>0</f>
        <v>0</v>
      </c>
      <c r="T117" s="5">
        <f t="shared" si="60"/>
        <v>0</v>
      </c>
      <c r="U117" s="6" t="str">
        <f t="shared" si="61"/>
        <v/>
      </c>
      <c r="V117" s="4"/>
      <c r="W117" s="5">
        <f>0</f>
        <v>0</v>
      </c>
      <c r="X117" s="5">
        <f t="shared" si="62"/>
        <v>0</v>
      </c>
      <c r="Y117" s="6" t="str">
        <f t="shared" si="63"/>
        <v/>
      </c>
      <c r="Z117" s="4"/>
      <c r="AA117" s="5">
        <f>0</f>
        <v>0</v>
      </c>
      <c r="AB117" s="5">
        <f t="shared" si="64"/>
        <v>0</v>
      </c>
      <c r="AC117" s="6" t="str">
        <f t="shared" si="65"/>
        <v/>
      </c>
      <c r="AD117" s="4"/>
      <c r="AE117" s="5">
        <f>0</f>
        <v>0</v>
      </c>
      <c r="AF117" s="5">
        <f t="shared" si="66"/>
        <v>0</v>
      </c>
      <c r="AG117" s="6" t="str">
        <f t="shared" si="67"/>
        <v/>
      </c>
      <c r="AH117" s="4"/>
      <c r="AI117" s="5">
        <f>0</f>
        <v>0</v>
      </c>
      <c r="AJ117" s="5">
        <f t="shared" si="68"/>
        <v>0</v>
      </c>
      <c r="AK117" s="6" t="str">
        <f t="shared" si="69"/>
        <v/>
      </c>
      <c r="AL117" s="4"/>
      <c r="AM117" s="5">
        <f>0</f>
        <v>0</v>
      </c>
      <c r="AN117" s="5">
        <f t="shared" si="70"/>
        <v>0</v>
      </c>
      <c r="AO117" s="6" t="str">
        <f t="shared" si="71"/>
        <v/>
      </c>
      <c r="AP117" s="4"/>
      <c r="AQ117" s="5">
        <f>0</f>
        <v>0</v>
      </c>
      <c r="AR117" s="5">
        <f t="shared" si="72"/>
        <v>0</v>
      </c>
      <c r="AS117" s="6" t="str">
        <f t="shared" si="73"/>
        <v/>
      </c>
      <c r="AT117" s="5">
        <f t="shared" si="74"/>
        <v>0</v>
      </c>
      <c r="AU117" s="5">
        <f t="shared" si="75"/>
        <v>0</v>
      </c>
      <c r="AV117" s="5">
        <f t="shared" si="76"/>
        <v>0</v>
      </c>
      <c r="AW117" s="6" t="str">
        <f t="shared" si="77"/>
        <v/>
      </c>
    </row>
    <row r="118" spans="1:49" x14ac:dyDescent="0.25">
      <c r="A118" s="3" t="s">
        <v>127</v>
      </c>
      <c r="B118" s="7">
        <f>(((((((B110)+(B111))+(B112))+(B113))+(B114))+(B115))+(B116))+(B117)</f>
        <v>3081.88</v>
      </c>
      <c r="C118" s="7">
        <f>(((((((C110)+(C111))+(C112))+(C113))+(C114))+(C115))+(C116))+(C117)</f>
        <v>12250</v>
      </c>
      <c r="D118" s="7">
        <f t="shared" si="52"/>
        <v>-9168.119999999999</v>
      </c>
      <c r="E118" s="8">
        <f t="shared" si="53"/>
        <v>0.25158204081632651</v>
      </c>
      <c r="F118" s="7">
        <f>(((((((F110)+(F111))+(F112))+(F113))+(F114))+(F115))+(F116))+(F117)</f>
        <v>156.38999999999999</v>
      </c>
      <c r="G118" s="7">
        <f>(((((((G110)+(G111))+(G112))+(G113))+(G114))+(G115))+(G116))+(G117)</f>
        <v>0</v>
      </c>
      <c r="H118" s="7">
        <f t="shared" si="54"/>
        <v>156.38999999999999</v>
      </c>
      <c r="I118" s="8" t="str">
        <f t="shared" si="55"/>
        <v/>
      </c>
      <c r="J118" s="7">
        <f>(((((((J110)+(J111))+(J112))+(J113))+(J114))+(J115))+(J116))+(J117)</f>
        <v>104</v>
      </c>
      <c r="K118" s="7">
        <f>(((((((K110)+(K111))+(K112))+(K113))+(K114))+(K115))+(K116))+(K117)</f>
        <v>0</v>
      </c>
      <c r="L118" s="7">
        <f t="shared" si="56"/>
        <v>104</v>
      </c>
      <c r="M118" s="8" t="str">
        <f t="shared" si="57"/>
        <v/>
      </c>
      <c r="N118" s="7">
        <f>(((((((N110)+(N111))+(N112))+(N113))+(N114))+(N115))+(N116))+(N117)</f>
        <v>661.66</v>
      </c>
      <c r="O118" s="7">
        <f>(((((((O110)+(O111))+(O112))+(O113))+(O114))+(O115))+(O116))+(O117)</f>
        <v>0</v>
      </c>
      <c r="P118" s="7">
        <f t="shared" si="58"/>
        <v>661.66</v>
      </c>
      <c r="Q118" s="8" t="str">
        <f t="shared" si="59"/>
        <v/>
      </c>
      <c r="R118" s="7">
        <f>(((((((R110)+(R111))+(R112))+(R113))+(R114))+(R115))+(R116))+(R117)</f>
        <v>804.03</v>
      </c>
      <c r="S118" s="7">
        <f>(((((((S110)+(S111))+(S112))+(S113))+(S114))+(S115))+(S116))+(S117)</f>
        <v>0</v>
      </c>
      <c r="T118" s="7">
        <f t="shared" si="60"/>
        <v>804.03</v>
      </c>
      <c r="U118" s="8" t="str">
        <f t="shared" si="61"/>
        <v/>
      </c>
      <c r="V118" s="7">
        <f>(((((((V110)+(V111))+(V112))+(V113))+(V114))+(V115))+(V116))+(V117)</f>
        <v>164.99</v>
      </c>
      <c r="W118" s="7">
        <f>(((((((W110)+(W111))+(W112))+(W113))+(W114))+(W115))+(W116))+(W117)</f>
        <v>0</v>
      </c>
      <c r="X118" s="7">
        <f t="shared" si="62"/>
        <v>164.99</v>
      </c>
      <c r="Y118" s="8" t="str">
        <f t="shared" si="63"/>
        <v/>
      </c>
      <c r="Z118" s="7">
        <f>(((((((Z110)+(Z111))+(Z112))+(Z113))+(Z114))+(Z115))+(Z116))+(Z117)</f>
        <v>1207.47</v>
      </c>
      <c r="AA118" s="7">
        <f>(((((((AA110)+(AA111))+(AA112))+(AA113))+(AA114))+(AA115))+(AA116))+(AA117)</f>
        <v>0</v>
      </c>
      <c r="AB118" s="7">
        <f t="shared" si="64"/>
        <v>1207.47</v>
      </c>
      <c r="AC118" s="8" t="str">
        <f t="shared" si="65"/>
        <v/>
      </c>
      <c r="AD118" s="7">
        <f>(((((((AD110)+(AD111))+(AD112))+(AD113))+(AD114))+(AD115))+(AD116))+(AD117)</f>
        <v>883.29</v>
      </c>
      <c r="AE118" s="7">
        <f>(((((((AE110)+(AE111))+(AE112))+(AE113))+(AE114))+(AE115))+(AE116))+(AE117)</f>
        <v>0</v>
      </c>
      <c r="AF118" s="7">
        <f t="shared" si="66"/>
        <v>883.29</v>
      </c>
      <c r="AG118" s="8" t="str">
        <f t="shared" si="67"/>
        <v/>
      </c>
      <c r="AH118" s="7">
        <f>(((((((AH110)+(AH111))+(AH112))+(AH113))+(AH114))+(AH115))+(AH116))+(AH117)</f>
        <v>1191.78</v>
      </c>
      <c r="AI118" s="7">
        <f>(((((((AI110)+(AI111))+(AI112))+(AI113))+(AI114))+(AI115))+(AI116))+(AI117)</f>
        <v>0</v>
      </c>
      <c r="AJ118" s="7">
        <f t="shared" si="68"/>
        <v>1191.78</v>
      </c>
      <c r="AK118" s="8" t="str">
        <f t="shared" si="69"/>
        <v/>
      </c>
      <c r="AL118" s="7">
        <f>(((((((AL110)+(AL111))+(AL112))+(AL113))+(AL114))+(AL115))+(AL116))+(AL117)</f>
        <v>2384.4699999999998</v>
      </c>
      <c r="AM118" s="7">
        <f>(((((((AM110)+(AM111))+(AM112))+(AM113))+(AM114))+(AM115))+(AM116))+(AM117)</f>
        <v>0</v>
      </c>
      <c r="AN118" s="7">
        <f t="shared" si="70"/>
        <v>2384.4699999999998</v>
      </c>
      <c r="AO118" s="8" t="str">
        <f t="shared" si="71"/>
        <v/>
      </c>
      <c r="AP118" s="7">
        <f>(((((((AP110)+(AP111))+(AP112))+(AP113))+(AP114))+(AP115))+(AP116))+(AP117)</f>
        <v>578.19000000000005</v>
      </c>
      <c r="AQ118" s="7">
        <f>(((((((AQ110)+(AQ111))+(AQ112))+(AQ113))+(AQ114))+(AQ115))+(AQ116))+(AQ117)</f>
        <v>0</v>
      </c>
      <c r="AR118" s="7">
        <f t="shared" si="72"/>
        <v>578.19000000000005</v>
      </c>
      <c r="AS118" s="8" t="str">
        <f t="shared" si="73"/>
        <v/>
      </c>
      <c r="AT118" s="7">
        <f t="shared" si="74"/>
        <v>11218.15</v>
      </c>
      <c r="AU118" s="7">
        <f t="shared" si="75"/>
        <v>12250</v>
      </c>
      <c r="AV118" s="7">
        <f t="shared" si="76"/>
        <v>-1031.8500000000004</v>
      </c>
      <c r="AW118" s="8">
        <f t="shared" si="77"/>
        <v>0.91576734693877548</v>
      </c>
    </row>
    <row r="119" spans="1:49" x14ac:dyDescent="0.25">
      <c r="A119" s="3" t="s">
        <v>128</v>
      </c>
      <c r="B119" s="4"/>
      <c r="C119" s="4"/>
      <c r="D119" s="5">
        <f t="shared" si="52"/>
        <v>0</v>
      </c>
      <c r="E119" s="6" t="str">
        <f t="shared" si="53"/>
        <v/>
      </c>
      <c r="F119" s="5">
        <f>22.97</f>
        <v>22.97</v>
      </c>
      <c r="G119" s="4"/>
      <c r="H119" s="5">
        <f t="shared" si="54"/>
        <v>22.97</v>
      </c>
      <c r="I119" s="6" t="str">
        <f t="shared" si="55"/>
        <v/>
      </c>
      <c r="J119" s="5">
        <f>67.84</f>
        <v>67.84</v>
      </c>
      <c r="K119" s="4"/>
      <c r="L119" s="5">
        <f t="shared" si="56"/>
        <v>67.84</v>
      </c>
      <c r="M119" s="6" t="str">
        <f t="shared" si="57"/>
        <v/>
      </c>
      <c r="N119" s="5">
        <f>14.6</f>
        <v>14.6</v>
      </c>
      <c r="O119" s="4"/>
      <c r="P119" s="5">
        <f t="shared" si="58"/>
        <v>14.6</v>
      </c>
      <c r="Q119" s="6" t="str">
        <f t="shared" si="59"/>
        <v/>
      </c>
      <c r="R119" s="5">
        <f>131.27</f>
        <v>131.27000000000001</v>
      </c>
      <c r="S119" s="4"/>
      <c r="T119" s="5">
        <f t="shared" si="60"/>
        <v>131.27000000000001</v>
      </c>
      <c r="U119" s="6" t="str">
        <f t="shared" si="61"/>
        <v/>
      </c>
      <c r="V119" s="4"/>
      <c r="W119" s="4"/>
      <c r="X119" s="5">
        <f t="shared" si="62"/>
        <v>0</v>
      </c>
      <c r="Y119" s="6" t="str">
        <f t="shared" si="63"/>
        <v/>
      </c>
      <c r="Z119" s="5">
        <f>32.99</f>
        <v>32.99</v>
      </c>
      <c r="AA119" s="4"/>
      <c r="AB119" s="5">
        <f t="shared" si="64"/>
        <v>32.99</v>
      </c>
      <c r="AC119" s="6" t="str">
        <f t="shared" si="65"/>
        <v/>
      </c>
      <c r="AD119" s="4"/>
      <c r="AE119" s="4"/>
      <c r="AF119" s="5">
        <f t="shared" si="66"/>
        <v>0</v>
      </c>
      <c r="AG119" s="6" t="str">
        <f t="shared" si="67"/>
        <v/>
      </c>
      <c r="AH119" s="5">
        <f>91.45</f>
        <v>91.45</v>
      </c>
      <c r="AI119" s="4"/>
      <c r="AJ119" s="5">
        <f t="shared" si="68"/>
        <v>91.45</v>
      </c>
      <c r="AK119" s="6" t="str">
        <f t="shared" si="69"/>
        <v/>
      </c>
      <c r="AL119" s="5">
        <f>191.47</f>
        <v>191.47</v>
      </c>
      <c r="AM119" s="4"/>
      <c r="AN119" s="5">
        <f t="shared" si="70"/>
        <v>191.47</v>
      </c>
      <c r="AO119" s="6" t="str">
        <f t="shared" si="71"/>
        <v/>
      </c>
      <c r="AP119" s="5">
        <f>26.5</f>
        <v>26.5</v>
      </c>
      <c r="AQ119" s="4"/>
      <c r="AR119" s="5">
        <f t="shared" si="72"/>
        <v>26.5</v>
      </c>
      <c r="AS119" s="6" t="str">
        <f t="shared" si="73"/>
        <v/>
      </c>
      <c r="AT119" s="5">
        <f t="shared" si="74"/>
        <v>579.09</v>
      </c>
      <c r="AU119" s="5">
        <f t="shared" si="75"/>
        <v>0</v>
      </c>
      <c r="AV119" s="5">
        <f t="shared" si="76"/>
        <v>579.09</v>
      </c>
      <c r="AW119" s="6" t="str">
        <f t="shared" si="77"/>
        <v/>
      </c>
    </row>
    <row r="120" spans="1:49" x14ac:dyDescent="0.25">
      <c r="A120" s="3" t="s">
        <v>129</v>
      </c>
      <c r="B120" s="4"/>
      <c r="C120" s="5">
        <f>4450</f>
        <v>4450</v>
      </c>
      <c r="D120" s="5">
        <f t="shared" ref="D120:D151" si="78">(B120)-(C120)</f>
        <v>-4450</v>
      </c>
      <c r="E120" s="6">
        <f t="shared" ref="E120:E151" si="79">IF(C120=0,"",(B120)/(C120))</f>
        <v>0</v>
      </c>
      <c r="F120" s="5">
        <f>99.24</f>
        <v>99.24</v>
      </c>
      <c r="G120" s="5">
        <f>0</f>
        <v>0</v>
      </c>
      <c r="H120" s="5">
        <f t="shared" ref="H120:H151" si="80">(F120)-(G120)</f>
        <v>99.24</v>
      </c>
      <c r="I120" s="6" t="str">
        <f t="shared" ref="I120:I151" si="81">IF(G120=0,"",(F120)/(G120))</f>
        <v/>
      </c>
      <c r="J120" s="5">
        <f>86.88</f>
        <v>86.88</v>
      </c>
      <c r="K120" s="5">
        <f>0</f>
        <v>0</v>
      </c>
      <c r="L120" s="5">
        <f t="shared" ref="L120:L151" si="82">(J120)-(K120)</f>
        <v>86.88</v>
      </c>
      <c r="M120" s="6" t="str">
        <f t="shared" ref="M120:M151" si="83">IF(K120=0,"",(J120)/(K120))</f>
        <v/>
      </c>
      <c r="N120" s="5">
        <f>128.36</f>
        <v>128.36000000000001</v>
      </c>
      <c r="O120" s="5">
        <f>0</f>
        <v>0</v>
      </c>
      <c r="P120" s="5">
        <f t="shared" ref="P120:P151" si="84">(N120)-(O120)</f>
        <v>128.36000000000001</v>
      </c>
      <c r="Q120" s="6" t="str">
        <f t="shared" ref="Q120:Q151" si="85">IF(O120=0,"",(N120)/(O120))</f>
        <v/>
      </c>
      <c r="R120" s="5">
        <f>85.06</f>
        <v>85.06</v>
      </c>
      <c r="S120" s="5">
        <f>0</f>
        <v>0</v>
      </c>
      <c r="T120" s="5">
        <f t="shared" ref="T120:T151" si="86">(R120)-(S120)</f>
        <v>85.06</v>
      </c>
      <c r="U120" s="6" t="str">
        <f t="shared" ref="U120:U151" si="87">IF(S120=0,"",(R120)/(S120))</f>
        <v/>
      </c>
      <c r="V120" s="5">
        <f>12.08</f>
        <v>12.08</v>
      </c>
      <c r="W120" s="5">
        <f>0</f>
        <v>0</v>
      </c>
      <c r="X120" s="5">
        <f t="shared" ref="X120:X151" si="88">(V120)-(W120)</f>
        <v>12.08</v>
      </c>
      <c r="Y120" s="6" t="str">
        <f t="shared" ref="Y120:Y151" si="89">IF(W120=0,"",(V120)/(W120))</f>
        <v/>
      </c>
      <c r="Z120" s="5">
        <f>49.87</f>
        <v>49.87</v>
      </c>
      <c r="AA120" s="5">
        <f>0</f>
        <v>0</v>
      </c>
      <c r="AB120" s="5">
        <f t="shared" ref="AB120:AB151" si="90">(Z120)-(AA120)</f>
        <v>49.87</v>
      </c>
      <c r="AC120" s="6" t="str">
        <f t="shared" ref="AC120:AC151" si="91">IF(AA120=0,"",(Z120)/(AA120))</f>
        <v/>
      </c>
      <c r="AD120" s="5">
        <f>13.74</f>
        <v>13.74</v>
      </c>
      <c r="AE120" s="5">
        <f>0</f>
        <v>0</v>
      </c>
      <c r="AF120" s="5">
        <f t="shared" ref="AF120:AF151" si="92">(AD120)-(AE120)</f>
        <v>13.74</v>
      </c>
      <c r="AG120" s="6" t="str">
        <f t="shared" ref="AG120:AG151" si="93">IF(AE120=0,"",(AD120)/(AE120))</f>
        <v/>
      </c>
      <c r="AH120" s="5">
        <f>6.99</f>
        <v>6.99</v>
      </c>
      <c r="AI120" s="5">
        <f>0</f>
        <v>0</v>
      </c>
      <c r="AJ120" s="5">
        <f t="shared" ref="AJ120:AJ151" si="94">(AH120)-(AI120)</f>
        <v>6.99</v>
      </c>
      <c r="AK120" s="6" t="str">
        <f t="shared" ref="AK120:AK151" si="95">IF(AI120=0,"",(AH120)/(AI120))</f>
        <v/>
      </c>
      <c r="AL120" s="4"/>
      <c r="AM120" s="5">
        <f>0</f>
        <v>0</v>
      </c>
      <c r="AN120" s="5">
        <f t="shared" ref="AN120:AN151" si="96">(AL120)-(AM120)</f>
        <v>0</v>
      </c>
      <c r="AO120" s="6" t="str">
        <f t="shared" ref="AO120:AO151" si="97">IF(AM120=0,"",(AL120)/(AM120))</f>
        <v/>
      </c>
      <c r="AP120" s="5">
        <f>55.9</f>
        <v>55.9</v>
      </c>
      <c r="AQ120" s="5">
        <f>0</f>
        <v>0</v>
      </c>
      <c r="AR120" s="5">
        <f t="shared" ref="AR120:AR151" si="98">(AP120)-(AQ120)</f>
        <v>55.9</v>
      </c>
      <c r="AS120" s="6" t="str">
        <f t="shared" ref="AS120:AS151" si="99">IF(AQ120=0,"",(AP120)/(AQ120))</f>
        <v/>
      </c>
      <c r="AT120" s="5">
        <f t="shared" ref="AT120:AT151" si="100">((((((((((B120)+(F120))+(J120))+(N120))+(R120))+(V120))+(Z120))+(AD120))+(AH120))+(AL120))+(AP120)</f>
        <v>538.12</v>
      </c>
      <c r="AU120" s="5">
        <f t="shared" ref="AU120:AU151" si="101">((((((((((C120)+(G120))+(K120))+(O120))+(S120))+(W120))+(AA120))+(AE120))+(AI120))+(AM120))+(AQ120)</f>
        <v>4450</v>
      </c>
      <c r="AV120" s="5">
        <f t="shared" ref="AV120:AV151" si="102">(AT120)-(AU120)</f>
        <v>-3911.88</v>
      </c>
      <c r="AW120" s="6">
        <f t="shared" ref="AW120:AW151" si="103">IF(AU120=0,"",(AT120)/(AU120))</f>
        <v>0.12092584269662922</v>
      </c>
    </row>
    <row r="121" spans="1:49" x14ac:dyDescent="0.25">
      <c r="A121" s="3" t="s">
        <v>130</v>
      </c>
      <c r="B121" s="4"/>
      <c r="C121" s="5">
        <f>1000</f>
        <v>1000</v>
      </c>
      <c r="D121" s="5">
        <f t="shared" si="78"/>
        <v>-1000</v>
      </c>
      <c r="E121" s="6">
        <f t="shared" si="79"/>
        <v>0</v>
      </c>
      <c r="F121" s="4"/>
      <c r="G121" s="5">
        <f>0</f>
        <v>0</v>
      </c>
      <c r="H121" s="5">
        <f t="shared" si="80"/>
        <v>0</v>
      </c>
      <c r="I121" s="6" t="str">
        <f t="shared" si="81"/>
        <v/>
      </c>
      <c r="J121" s="4"/>
      <c r="K121" s="5">
        <f>0</f>
        <v>0</v>
      </c>
      <c r="L121" s="5">
        <f t="shared" si="82"/>
        <v>0</v>
      </c>
      <c r="M121" s="6" t="str">
        <f t="shared" si="83"/>
        <v/>
      </c>
      <c r="N121" s="4"/>
      <c r="O121" s="5">
        <f>0</f>
        <v>0</v>
      </c>
      <c r="P121" s="5">
        <f t="shared" si="84"/>
        <v>0</v>
      </c>
      <c r="Q121" s="6" t="str">
        <f t="shared" si="85"/>
        <v/>
      </c>
      <c r="R121" s="4"/>
      <c r="S121" s="5">
        <f>0</f>
        <v>0</v>
      </c>
      <c r="T121" s="5">
        <f t="shared" si="86"/>
        <v>0</v>
      </c>
      <c r="U121" s="6" t="str">
        <f t="shared" si="87"/>
        <v/>
      </c>
      <c r="V121" s="4"/>
      <c r="W121" s="5">
        <f>0</f>
        <v>0</v>
      </c>
      <c r="X121" s="5">
        <f t="shared" si="88"/>
        <v>0</v>
      </c>
      <c r="Y121" s="6" t="str">
        <f t="shared" si="89"/>
        <v/>
      </c>
      <c r="Z121" s="4"/>
      <c r="AA121" s="5">
        <f>0</f>
        <v>0</v>
      </c>
      <c r="AB121" s="5">
        <f t="shared" si="90"/>
        <v>0</v>
      </c>
      <c r="AC121" s="6" t="str">
        <f t="shared" si="91"/>
        <v/>
      </c>
      <c r="AD121" s="4"/>
      <c r="AE121" s="5">
        <f>0</f>
        <v>0</v>
      </c>
      <c r="AF121" s="5">
        <f t="shared" si="92"/>
        <v>0</v>
      </c>
      <c r="AG121" s="6" t="str">
        <f t="shared" si="93"/>
        <v/>
      </c>
      <c r="AH121" s="4"/>
      <c r="AI121" s="5">
        <f>0</f>
        <v>0</v>
      </c>
      <c r="AJ121" s="5">
        <f t="shared" si="94"/>
        <v>0</v>
      </c>
      <c r="AK121" s="6" t="str">
        <f t="shared" si="95"/>
        <v/>
      </c>
      <c r="AL121" s="4"/>
      <c r="AM121" s="5">
        <f>0</f>
        <v>0</v>
      </c>
      <c r="AN121" s="5">
        <f t="shared" si="96"/>
        <v>0</v>
      </c>
      <c r="AO121" s="6" t="str">
        <f t="shared" si="97"/>
        <v/>
      </c>
      <c r="AP121" s="4"/>
      <c r="AQ121" s="5">
        <f>0</f>
        <v>0</v>
      </c>
      <c r="AR121" s="5">
        <f t="shared" si="98"/>
        <v>0</v>
      </c>
      <c r="AS121" s="6" t="str">
        <f t="shared" si="99"/>
        <v/>
      </c>
      <c r="AT121" s="5">
        <f t="shared" si="100"/>
        <v>0</v>
      </c>
      <c r="AU121" s="5">
        <f t="shared" si="101"/>
        <v>1000</v>
      </c>
      <c r="AV121" s="5">
        <f t="shared" si="102"/>
        <v>-1000</v>
      </c>
      <c r="AW121" s="6">
        <f t="shared" si="103"/>
        <v>0</v>
      </c>
    </row>
    <row r="122" spans="1:49" x14ac:dyDescent="0.25">
      <c r="A122" s="3" t="s">
        <v>131</v>
      </c>
      <c r="B122" s="5">
        <f>12.94</f>
        <v>12.94</v>
      </c>
      <c r="C122" s="5">
        <f>500</f>
        <v>500</v>
      </c>
      <c r="D122" s="5">
        <f t="shared" si="78"/>
        <v>-487.06</v>
      </c>
      <c r="E122" s="6">
        <f t="shared" si="79"/>
        <v>2.588E-2</v>
      </c>
      <c r="F122" s="5">
        <f>43.99</f>
        <v>43.99</v>
      </c>
      <c r="G122" s="5">
        <f>0</f>
        <v>0</v>
      </c>
      <c r="H122" s="5">
        <f t="shared" si="80"/>
        <v>43.99</v>
      </c>
      <c r="I122" s="6" t="str">
        <f t="shared" si="81"/>
        <v/>
      </c>
      <c r="J122" s="5">
        <f>84.12</f>
        <v>84.12</v>
      </c>
      <c r="K122" s="5">
        <f>0</f>
        <v>0</v>
      </c>
      <c r="L122" s="5">
        <f t="shared" si="82"/>
        <v>84.12</v>
      </c>
      <c r="M122" s="6" t="str">
        <f t="shared" si="83"/>
        <v/>
      </c>
      <c r="N122" s="5">
        <f>3.89</f>
        <v>3.89</v>
      </c>
      <c r="O122" s="5">
        <f>0</f>
        <v>0</v>
      </c>
      <c r="P122" s="5">
        <f t="shared" si="84"/>
        <v>3.89</v>
      </c>
      <c r="Q122" s="6" t="str">
        <f t="shared" si="85"/>
        <v/>
      </c>
      <c r="R122" s="5">
        <f>18.14</f>
        <v>18.14</v>
      </c>
      <c r="S122" s="5">
        <f>0</f>
        <v>0</v>
      </c>
      <c r="T122" s="5">
        <f t="shared" si="86"/>
        <v>18.14</v>
      </c>
      <c r="U122" s="6" t="str">
        <f t="shared" si="87"/>
        <v/>
      </c>
      <c r="V122" s="5">
        <f>18.19</f>
        <v>18.190000000000001</v>
      </c>
      <c r="W122" s="5">
        <f>0</f>
        <v>0</v>
      </c>
      <c r="X122" s="5">
        <f t="shared" si="88"/>
        <v>18.190000000000001</v>
      </c>
      <c r="Y122" s="6" t="str">
        <f t="shared" si="89"/>
        <v/>
      </c>
      <c r="Z122" s="5">
        <f>11.16</f>
        <v>11.16</v>
      </c>
      <c r="AA122" s="5">
        <f>0</f>
        <v>0</v>
      </c>
      <c r="AB122" s="5">
        <f t="shared" si="90"/>
        <v>11.16</v>
      </c>
      <c r="AC122" s="6" t="str">
        <f t="shared" si="91"/>
        <v/>
      </c>
      <c r="AD122" s="4"/>
      <c r="AE122" s="5">
        <f>0</f>
        <v>0</v>
      </c>
      <c r="AF122" s="5">
        <f t="shared" si="92"/>
        <v>0</v>
      </c>
      <c r="AG122" s="6" t="str">
        <f t="shared" si="93"/>
        <v/>
      </c>
      <c r="AH122" s="5">
        <f>145.51</f>
        <v>145.51</v>
      </c>
      <c r="AI122" s="5">
        <f>0</f>
        <v>0</v>
      </c>
      <c r="AJ122" s="5">
        <f t="shared" si="94"/>
        <v>145.51</v>
      </c>
      <c r="AK122" s="6" t="str">
        <f t="shared" si="95"/>
        <v/>
      </c>
      <c r="AL122" s="5">
        <f>228.27</f>
        <v>228.27</v>
      </c>
      <c r="AM122" s="5">
        <f>0</f>
        <v>0</v>
      </c>
      <c r="AN122" s="5">
        <f t="shared" si="96"/>
        <v>228.27</v>
      </c>
      <c r="AO122" s="6" t="str">
        <f t="shared" si="97"/>
        <v/>
      </c>
      <c r="AP122" s="5">
        <f>44.89</f>
        <v>44.89</v>
      </c>
      <c r="AQ122" s="5">
        <f>0</f>
        <v>0</v>
      </c>
      <c r="AR122" s="5">
        <f t="shared" si="98"/>
        <v>44.89</v>
      </c>
      <c r="AS122" s="6" t="str">
        <f t="shared" si="99"/>
        <v/>
      </c>
      <c r="AT122" s="5">
        <f t="shared" si="100"/>
        <v>611.09999999999991</v>
      </c>
      <c r="AU122" s="5">
        <f t="shared" si="101"/>
        <v>500</v>
      </c>
      <c r="AV122" s="5">
        <f t="shared" si="102"/>
        <v>111.09999999999991</v>
      </c>
      <c r="AW122" s="6">
        <f t="shared" si="103"/>
        <v>1.2221999999999997</v>
      </c>
    </row>
    <row r="123" spans="1:49" x14ac:dyDescent="0.25">
      <c r="A123" s="3" t="s">
        <v>132</v>
      </c>
      <c r="B123" s="4"/>
      <c r="C123" s="4"/>
      <c r="D123" s="5">
        <f t="shared" si="78"/>
        <v>0</v>
      </c>
      <c r="E123" s="6" t="str">
        <f t="shared" si="79"/>
        <v/>
      </c>
      <c r="F123" s="4"/>
      <c r="G123" s="4"/>
      <c r="H123" s="5">
        <f t="shared" si="80"/>
        <v>0</v>
      </c>
      <c r="I123" s="6" t="str">
        <f t="shared" si="81"/>
        <v/>
      </c>
      <c r="J123" s="4"/>
      <c r="K123" s="4"/>
      <c r="L123" s="5">
        <f t="shared" si="82"/>
        <v>0</v>
      </c>
      <c r="M123" s="6" t="str">
        <f t="shared" si="83"/>
        <v/>
      </c>
      <c r="N123" s="4"/>
      <c r="O123" s="4"/>
      <c r="P123" s="5">
        <f t="shared" si="84"/>
        <v>0</v>
      </c>
      <c r="Q123" s="6" t="str">
        <f t="shared" si="85"/>
        <v/>
      </c>
      <c r="R123" s="4"/>
      <c r="S123" s="4"/>
      <c r="T123" s="5">
        <f t="shared" si="86"/>
        <v>0</v>
      </c>
      <c r="U123" s="6" t="str">
        <f t="shared" si="87"/>
        <v/>
      </c>
      <c r="V123" s="4"/>
      <c r="W123" s="4"/>
      <c r="X123" s="5">
        <f t="shared" si="88"/>
        <v>0</v>
      </c>
      <c r="Y123" s="6" t="str">
        <f t="shared" si="89"/>
        <v/>
      </c>
      <c r="Z123" s="4"/>
      <c r="AA123" s="4"/>
      <c r="AB123" s="5">
        <f t="shared" si="90"/>
        <v>0</v>
      </c>
      <c r="AC123" s="6" t="str">
        <f t="shared" si="91"/>
        <v/>
      </c>
      <c r="AD123" s="4"/>
      <c r="AE123" s="4"/>
      <c r="AF123" s="5">
        <f t="shared" si="92"/>
        <v>0</v>
      </c>
      <c r="AG123" s="6" t="str">
        <f t="shared" si="93"/>
        <v/>
      </c>
      <c r="AH123" s="4"/>
      <c r="AI123" s="4"/>
      <c r="AJ123" s="5">
        <f t="shared" si="94"/>
        <v>0</v>
      </c>
      <c r="AK123" s="6" t="str">
        <f t="shared" si="95"/>
        <v/>
      </c>
      <c r="AL123" s="5">
        <f>204.7</f>
        <v>204.7</v>
      </c>
      <c r="AM123" s="4"/>
      <c r="AN123" s="5">
        <f t="shared" si="96"/>
        <v>204.7</v>
      </c>
      <c r="AO123" s="6" t="str">
        <f t="shared" si="97"/>
        <v/>
      </c>
      <c r="AP123" s="4"/>
      <c r="AQ123" s="4"/>
      <c r="AR123" s="5">
        <f t="shared" si="98"/>
        <v>0</v>
      </c>
      <c r="AS123" s="6" t="str">
        <f t="shared" si="99"/>
        <v/>
      </c>
      <c r="AT123" s="5">
        <f t="shared" si="100"/>
        <v>204.7</v>
      </c>
      <c r="AU123" s="5">
        <f t="shared" si="101"/>
        <v>0</v>
      </c>
      <c r="AV123" s="5">
        <f t="shared" si="102"/>
        <v>204.7</v>
      </c>
      <c r="AW123" s="6" t="str">
        <f t="shared" si="103"/>
        <v/>
      </c>
    </row>
    <row r="124" spans="1:49" x14ac:dyDescent="0.25">
      <c r="A124" s="3" t="s">
        <v>133</v>
      </c>
      <c r="B124" s="5">
        <f>220.47</f>
        <v>220.47</v>
      </c>
      <c r="C124" s="4"/>
      <c r="D124" s="5">
        <f t="shared" si="78"/>
        <v>220.47</v>
      </c>
      <c r="E124" s="6" t="str">
        <f t="shared" si="79"/>
        <v/>
      </c>
      <c r="F124" s="5">
        <f>198.27</f>
        <v>198.27</v>
      </c>
      <c r="G124" s="4"/>
      <c r="H124" s="5">
        <f t="shared" si="80"/>
        <v>198.27</v>
      </c>
      <c r="I124" s="6" t="str">
        <f t="shared" si="81"/>
        <v/>
      </c>
      <c r="J124" s="5">
        <f>119.93</f>
        <v>119.93</v>
      </c>
      <c r="K124" s="4"/>
      <c r="L124" s="5">
        <f t="shared" si="82"/>
        <v>119.93</v>
      </c>
      <c r="M124" s="6" t="str">
        <f t="shared" si="83"/>
        <v/>
      </c>
      <c r="N124" s="5">
        <f>110.94</f>
        <v>110.94</v>
      </c>
      <c r="O124" s="4"/>
      <c r="P124" s="5">
        <f t="shared" si="84"/>
        <v>110.94</v>
      </c>
      <c r="Q124" s="6" t="str">
        <f t="shared" si="85"/>
        <v/>
      </c>
      <c r="R124" s="5">
        <f>328.31</f>
        <v>328.31</v>
      </c>
      <c r="S124" s="4"/>
      <c r="T124" s="5">
        <f t="shared" si="86"/>
        <v>328.31</v>
      </c>
      <c r="U124" s="6" t="str">
        <f t="shared" si="87"/>
        <v/>
      </c>
      <c r="V124" s="5">
        <f>245.49</f>
        <v>245.49</v>
      </c>
      <c r="W124" s="4"/>
      <c r="X124" s="5">
        <f t="shared" si="88"/>
        <v>245.49</v>
      </c>
      <c r="Y124" s="6" t="str">
        <f t="shared" si="89"/>
        <v/>
      </c>
      <c r="Z124" s="5">
        <f>192.97</f>
        <v>192.97</v>
      </c>
      <c r="AA124" s="4"/>
      <c r="AB124" s="5">
        <f t="shared" si="90"/>
        <v>192.97</v>
      </c>
      <c r="AC124" s="6" t="str">
        <f t="shared" si="91"/>
        <v/>
      </c>
      <c r="AD124" s="5">
        <f>73.49</f>
        <v>73.489999999999995</v>
      </c>
      <c r="AE124" s="4"/>
      <c r="AF124" s="5">
        <f t="shared" si="92"/>
        <v>73.489999999999995</v>
      </c>
      <c r="AG124" s="6" t="str">
        <f t="shared" si="93"/>
        <v/>
      </c>
      <c r="AH124" s="5">
        <f>80.96</f>
        <v>80.959999999999994</v>
      </c>
      <c r="AI124" s="4"/>
      <c r="AJ124" s="5">
        <f t="shared" si="94"/>
        <v>80.959999999999994</v>
      </c>
      <c r="AK124" s="6" t="str">
        <f t="shared" si="95"/>
        <v/>
      </c>
      <c r="AL124" s="5">
        <f>21.87</f>
        <v>21.87</v>
      </c>
      <c r="AM124" s="4"/>
      <c r="AN124" s="5">
        <f t="shared" si="96"/>
        <v>21.87</v>
      </c>
      <c r="AO124" s="6" t="str">
        <f t="shared" si="97"/>
        <v/>
      </c>
      <c r="AP124" s="5">
        <f>114.44</f>
        <v>114.44</v>
      </c>
      <c r="AQ124" s="4"/>
      <c r="AR124" s="5">
        <f t="shared" si="98"/>
        <v>114.44</v>
      </c>
      <c r="AS124" s="6" t="str">
        <f t="shared" si="99"/>
        <v/>
      </c>
      <c r="AT124" s="5">
        <f t="shared" si="100"/>
        <v>1707.14</v>
      </c>
      <c r="AU124" s="5">
        <f t="shared" si="101"/>
        <v>0</v>
      </c>
      <c r="AV124" s="5">
        <f t="shared" si="102"/>
        <v>1707.14</v>
      </c>
      <c r="AW124" s="6" t="str">
        <f t="shared" si="103"/>
        <v/>
      </c>
    </row>
    <row r="125" spans="1:49" x14ac:dyDescent="0.25">
      <c r="A125" s="3" t="s">
        <v>134</v>
      </c>
      <c r="B125" s="4"/>
      <c r="C125" s="5">
        <f>3000</f>
        <v>3000</v>
      </c>
      <c r="D125" s="5">
        <f t="shared" si="78"/>
        <v>-3000</v>
      </c>
      <c r="E125" s="6">
        <f t="shared" si="79"/>
        <v>0</v>
      </c>
      <c r="F125" s="4"/>
      <c r="G125" s="5">
        <f>0</f>
        <v>0</v>
      </c>
      <c r="H125" s="5">
        <f t="shared" si="80"/>
        <v>0</v>
      </c>
      <c r="I125" s="6" t="str">
        <f t="shared" si="81"/>
        <v/>
      </c>
      <c r="J125" s="4"/>
      <c r="K125" s="5">
        <f>0</f>
        <v>0</v>
      </c>
      <c r="L125" s="5">
        <f t="shared" si="82"/>
        <v>0</v>
      </c>
      <c r="M125" s="6" t="str">
        <f t="shared" si="83"/>
        <v/>
      </c>
      <c r="N125" s="4"/>
      <c r="O125" s="5">
        <f>0</f>
        <v>0</v>
      </c>
      <c r="P125" s="5">
        <f t="shared" si="84"/>
        <v>0</v>
      </c>
      <c r="Q125" s="6" t="str">
        <f t="shared" si="85"/>
        <v/>
      </c>
      <c r="R125" s="4"/>
      <c r="S125" s="5">
        <f>0</f>
        <v>0</v>
      </c>
      <c r="T125" s="5">
        <f t="shared" si="86"/>
        <v>0</v>
      </c>
      <c r="U125" s="6" t="str">
        <f t="shared" si="87"/>
        <v/>
      </c>
      <c r="V125" s="4"/>
      <c r="W125" s="5">
        <f>0</f>
        <v>0</v>
      </c>
      <c r="X125" s="5">
        <f t="shared" si="88"/>
        <v>0</v>
      </c>
      <c r="Y125" s="6" t="str">
        <f t="shared" si="89"/>
        <v/>
      </c>
      <c r="Z125" s="4"/>
      <c r="AA125" s="5">
        <f>0</f>
        <v>0</v>
      </c>
      <c r="AB125" s="5">
        <f t="shared" si="90"/>
        <v>0</v>
      </c>
      <c r="AC125" s="6" t="str">
        <f t="shared" si="91"/>
        <v/>
      </c>
      <c r="AD125" s="4"/>
      <c r="AE125" s="5">
        <f>0</f>
        <v>0</v>
      </c>
      <c r="AF125" s="5">
        <f t="shared" si="92"/>
        <v>0</v>
      </c>
      <c r="AG125" s="6" t="str">
        <f t="shared" si="93"/>
        <v/>
      </c>
      <c r="AH125" s="4"/>
      <c r="AI125" s="5">
        <f>0</f>
        <v>0</v>
      </c>
      <c r="AJ125" s="5">
        <f t="shared" si="94"/>
        <v>0</v>
      </c>
      <c r="AK125" s="6" t="str">
        <f t="shared" si="95"/>
        <v/>
      </c>
      <c r="AL125" s="4"/>
      <c r="AM125" s="5">
        <f>0</f>
        <v>0</v>
      </c>
      <c r="AN125" s="5">
        <f t="shared" si="96"/>
        <v>0</v>
      </c>
      <c r="AO125" s="6" t="str">
        <f t="shared" si="97"/>
        <v/>
      </c>
      <c r="AP125" s="4"/>
      <c r="AQ125" s="5">
        <f>0</f>
        <v>0</v>
      </c>
      <c r="AR125" s="5">
        <f t="shared" si="98"/>
        <v>0</v>
      </c>
      <c r="AS125" s="6" t="str">
        <f t="shared" si="99"/>
        <v/>
      </c>
      <c r="AT125" s="5">
        <f t="shared" si="100"/>
        <v>0</v>
      </c>
      <c r="AU125" s="5">
        <f t="shared" si="101"/>
        <v>3000</v>
      </c>
      <c r="AV125" s="5">
        <f t="shared" si="102"/>
        <v>-3000</v>
      </c>
      <c r="AW125" s="6">
        <f t="shared" si="103"/>
        <v>0</v>
      </c>
    </row>
    <row r="126" spans="1:49" x14ac:dyDescent="0.25">
      <c r="A126" s="3" t="s">
        <v>135</v>
      </c>
      <c r="B126" s="7">
        <f>((B123)+(B124))+(B125)</f>
        <v>220.47</v>
      </c>
      <c r="C126" s="7">
        <f>((C123)+(C124))+(C125)</f>
        <v>3000</v>
      </c>
      <c r="D126" s="7">
        <f t="shared" si="78"/>
        <v>-2779.53</v>
      </c>
      <c r="E126" s="8">
        <f t="shared" si="79"/>
        <v>7.349E-2</v>
      </c>
      <c r="F126" s="7">
        <f>((F123)+(F124))+(F125)</f>
        <v>198.27</v>
      </c>
      <c r="G126" s="7">
        <f>((G123)+(G124))+(G125)</f>
        <v>0</v>
      </c>
      <c r="H126" s="7">
        <f t="shared" si="80"/>
        <v>198.27</v>
      </c>
      <c r="I126" s="8" t="str">
        <f t="shared" si="81"/>
        <v/>
      </c>
      <c r="J126" s="7">
        <f>((J123)+(J124))+(J125)</f>
        <v>119.93</v>
      </c>
      <c r="K126" s="7">
        <f>((K123)+(K124))+(K125)</f>
        <v>0</v>
      </c>
      <c r="L126" s="7">
        <f t="shared" si="82"/>
        <v>119.93</v>
      </c>
      <c r="M126" s="8" t="str">
        <f t="shared" si="83"/>
        <v/>
      </c>
      <c r="N126" s="7">
        <f>((N123)+(N124))+(N125)</f>
        <v>110.94</v>
      </c>
      <c r="O126" s="7">
        <f>((O123)+(O124))+(O125)</f>
        <v>0</v>
      </c>
      <c r="P126" s="7">
        <f t="shared" si="84"/>
        <v>110.94</v>
      </c>
      <c r="Q126" s="8" t="str">
        <f t="shared" si="85"/>
        <v/>
      </c>
      <c r="R126" s="7">
        <f>((R123)+(R124))+(R125)</f>
        <v>328.31</v>
      </c>
      <c r="S126" s="7">
        <f>((S123)+(S124))+(S125)</f>
        <v>0</v>
      </c>
      <c r="T126" s="7">
        <f t="shared" si="86"/>
        <v>328.31</v>
      </c>
      <c r="U126" s="8" t="str">
        <f t="shared" si="87"/>
        <v/>
      </c>
      <c r="V126" s="7">
        <f>((V123)+(V124))+(V125)</f>
        <v>245.49</v>
      </c>
      <c r="W126" s="7">
        <f>((W123)+(W124))+(W125)</f>
        <v>0</v>
      </c>
      <c r="X126" s="7">
        <f t="shared" si="88"/>
        <v>245.49</v>
      </c>
      <c r="Y126" s="8" t="str">
        <f t="shared" si="89"/>
        <v/>
      </c>
      <c r="Z126" s="7">
        <f>((Z123)+(Z124))+(Z125)</f>
        <v>192.97</v>
      </c>
      <c r="AA126" s="7">
        <f>((AA123)+(AA124))+(AA125)</f>
        <v>0</v>
      </c>
      <c r="AB126" s="7">
        <f t="shared" si="90"/>
        <v>192.97</v>
      </c>
      <c r="AC126" s="8" t="str">
        <f t="shared" si="91"/>
        <v/>
      </c>
      <c r="AD126" s="7">
        <f>((AD123)+(AD124))+(AD125)</f>
        <v>73.489999999999995</v>
      </c>
      <c r="AE126" s="7">
        <f>((AE123)+(AE124))+(AE125)</f>
        <v>0</v>
      </c>
      <c r="AF126" s="7">
        <f t="shared" si="92"/>
        <v>73.489999999999995</v>
      </c>
      <c r="AG126" s="8" t="str">
        <f t="shared" si="93"/>
        <v/>
      </c>
      <c r="AH126" s="7">
        <f>((AH123)+(AH124))+(AH125)</f>
        <v>80.959999999999994</v>
      </c>
      <c r="AI126" s="7">
        <f>((AI123)+(AI124))+(AI125)</f>
        <v>0</v>
      </c>
      <c r="AJ126" s="7">
        <f t="shared" si="94"/>
        <v>80.959999999999994</v>
      </c>
      <c r="AK126" s="8" t="str">
        <f t="shared" si="95"/>
        <v/>
      </c>
      <c r="AL126" s="7">
        <f>((AL123)+(AL124))+(AL125)</f>
        <v>226.57</v>
      </c>
      <c r="AM126" s="7">
        <f>((AM123)+(AM124))+(AM125)</f>
        <v>0</v>
      </c>
      <c r="AN126" s="7">
        <f t="shared" si="96"/>
        <v>226.57</v>
      </c>
      <c r="AO126" s="8" t="str">
        <f t="shared" si="97"/>
        <v/>
      </c>
      <c r="AP126" s="7">
        <f>((AP123)+(AP124))+(AP125)</f>
        <v>114.44</v>
      </c>
      <c r="AQ126" s="7">
        <f>((AQ123)+(AQ124))+(AQ125)</f>
        <v>0</v>
      </c>
      <c r="AR126" s="7">
        <f t="shared" si="98"/>
        <v>114.44</v>
      </c>
      <c r="AS126" s="8" t="str">
        <f t="shared" si="99"/>
        <v/>
      </c>
      <c r="AT126" s="7">
        <f t="shared" si="100"/>
        <v>1911.8400000000001</v>
      </c>
      <c r="AU126" s="7">
        <f t="shared" si="101"/>
        <v>3000</v>
      </c>
      <c r="AV126" s="7">
        <f t="shared" si="102"/>
        <v>-1088.1599999999999</v>
      </c>
      <c r="AW126" s="8">
        <f t="shared" si="103"/>
        <v>0.63728000000000007</v>
      </c>
    </row>
    <row r="127" spans="1:49" x14ac:dyDescent="0.25">
      <c r="A127" s="3" t="s">
        <v>136</v>
      </c>
      <c r="B127" s="4"/>
      <c r="C127" s="5">
        <f>600</f>
        <v>600</v>
      </c>
      <c r="D127" s="5">
        <f t="shared" si="78"/>
        <v>-600</v>
      </c>
      <c r="E127" s="6">
        <f t="shared" si="79"/>
        <v>0</v>
      </c>
      <c r="F127" s="4"/>
      <c r="G127" s="5">
        <f>0</f>
        <v>0</v>
      </c>
      <c r="H127" s="5">
        <f t="shared" si="80"/>
        <v>0</v>
      </c>
      <c r="I127" s="6" t="str">
        <f t="shared" si="81"/>
        <v/>
      </c>
      <c r="J127" s="4"/>
      <c r="K127" s="5">
        <f>0</f>
        <v>0</v>
      </c>
      <c r="L127" s="5">
        <f t="shared" si="82"/>
        <v>0</v>
      </c>
      <c r="M127" s="6" t="str">
        <f t="shared" si="83"/>
        <v/>
      </c>
      <c r="N127" s="4"/>
      <c r="O127" s="5">
        <f>0</f>
        <v>0</v>
      </c>
      <c r="P127" s="5">
        <f t="shared" si="84"/>
        <v>0</v>
      </c>
      <c r="Q127" s="6" t="str">
        <f t="shared" si="85"/>
        <v/>
      </c>
      <c r="R127" s="5">
        <f>139.73</f>
        <v>139.72999999999999</v>
      </c>
      <c r="S127" s="5">
        <f>0</f>
        <v>0</v>
      </c>
      <c r="T127" s="5">
        <f t="shared" si="86"/>
        <v>139.72999999999999</v>
      </c>
      <c r="U127" s="6" t="str">
        <f t="shared" si="87"/>
        <v/>
      </c>
      <c r="V127" s="5">
        <f>305.72</f>
        <v>305.72000000000003</v>
      </c>
      <c r="W127" s="5">
        <f>0</f>
        <v>0</v>
      </c>
      <c r="X127" s="5">
        <f t="shared" si="88"/>
        <v>305.72000000000003</v>
      </c>
      <c r="Y127" s="6" t="str">
        <f t="shared" si="89"/>
        <v/>
      </c>
      <c r="Z127" s="4"/>
      <c r="AA127" s="5">
        <f>0</f>
        <v>0</v>
      </c>
      <c r="AB127" s="5">
        <f t="shared" si="90"/>
        <v>0</v>
      </c>
      <c r="AC127" s="6" t="str">
        <f t="shared" si="91"/>
        <v/>
      </c>
      <c r="AD127" s="4"/>
      <c r="AE127" s="5">
        <f>0</f>
        <v>0</v>
      </c>
      <c r="AF127" s="5">
        <f t="shared" si="92"/>
        <v>0</v>
      </c>
      <c r="AG127" s="6" t="str">
        <f t="shared" si="93"/>
        <v/>
      </c>
      <c r="AH127" s="4"/>
      <c r="AI127" s="5">
        <f>0</f>
        <v>0</v>
      </c>
      <c r="AJ127" s="5">
        <f t="shared" si="94"/>
        <v>0</v>
      </c>
      <c r="AK127" s="6" t="str">
        <f t="shared" si="95"/>
        <v/>
      </c>
      <c r="AL127" s="4"/>
      <c r="AM127" s="5">
        <f>0</f>
        <v>0</v>
      </c>
      <c r="AN127" s="5">
        <f t="shared" si="96"/>
        <v>0</v>
      </c>
      <c r="AO127" s="6" t="str">
        <f t="shared" si="97"/>
        <v/>
      </c>
      <c r="AP127" s="5">
        <f>83.12</f>
        <v>83.12</v>
      </c>
      <c r="AQ127" s="5">
        <f>0</f>
        <v>0</v>
      </c>
      <c r="AR127" s="5">
        <f t="shared" si="98"/>
        <v>83.12</v>
      </c>
      <c r="AS127" s="6" t="str">
        <f t="shared" si="99"/>
        <v/>
      </c>
      <c r="AT127" s="5">
        <f t="shared" si="100"/>
        <v>528.57000000000005</v>
      </c>
      <c r="AU127" s="5">
        <f t="shared" si="101"/>
        <v>600</v>
      </c>
      <c r="AV127" s="5">
        <f t="shared" si="102"/>
        <v>-71.42999999999995</v>
      </c>
      <c r="AW127" s="6">
        <f t="shared" si="103"/>
        <v>0.88095000000000012</v>
      </c>
    </row>
    <row r="128" spans="1:49" x14ac:dyDescent="0.25">
      <c r="A128" s="3" t="s">
        <v>137</v>
      </c>
      <c r="B128" s="4"/>
      <c r="C128" s="5">
        <f>2400</f>
        <v>2400</v>
      </c>
      <c r="D128" s="5">
        <f t="shared" si="78"/>
        <v>-2400</v>
      </c>
      <c r="E128" s="6">
        <f t="shared" si="79"/>
        <v>0</v>
      </c>
      <c r="F128" s="5">
        <f>35.1</f>
        <v>35.1</v>
      </c>
      <c r="G128" s="5">
        <f>0</f>
        <v>0</v>
      </c>
      <c r="H128" s="5">
        <f t="shared" si="80"/>
        <v>35.1</v>
      </c>
      <c r="I128" s="6" t="str">
        <f t="shared" si="81"/>
        <v/>
      </c>
      <c r="J128" s="4"/>
      <c r="K128" s="5">
        <f>0</f>
        <v>0</v>
      </c>
      <c r="L128" s="5">
        <f t="shared" si="82"/>
        <v>0</v>
      </c>
      <c r="M128" s="6" t="str">
        <f t="shared" si="83"/>
        <v/>
      </c>
      <c r="N128" s="4"/>
      <c r="O128" s="5">
        <f>0</f>
        <v>0</v>
      </c>
      <c r="P128" s="5">
        <f t="shared" si="84"/>
        <v>0</v>
      </c>
      <c r="Q128" s="6" t="str">
        <f t="shared" si="85"/>
        <v/>
      </c>
      <c r="R128" s="4"/>
      <c r="S128" s="5">
        <f>0</f>
        <v>0</v>
      </c>
      <c r="T128" s="5">
        <f t="shared" si="86"/>
        <v>0</v>
      </c>
      <c r="U128" s="6" t="str">
        <f t="shared" si="87"/>
        <v/>
      </c>
      <c r="V128" s="4"/>
      <c r="W128" s="5">
        <f>0</f>
        <v>0</v>
      </c>
      <c r="X128" s="5">
        <f t="shared" si="88"/>
        <v>0</v>
      </c>
      <c r="Y128" s="6" t="str">
        <f t="shared" si="89"/>
        <v/>
      </c>
      <c r="Z128" s="4"/>
      <c r="AA128" s="5">
        <f>0</f>
        <v>0</v>
      </c>
      <c r="AB128" s="5">
        <f t="shared" si="90"/>
        <v>0</v>
      </c>
      <c r="AC128" s="6" t="str">
        <f t="shared" si="91"/>
        <v/>
      </c>
      <c r="AD128" s="4"/>
      <c r="AE128" s="5">
        <f>0</f>
        <v>0</v>
      </c>
      <c r="AF128" s="5">
        <f t="shared" si="92"/>
        <v>0</v>
      </c>
      <c r="AG128" s="6" t="str">
        <f t="shared" si="93"/>
        <v/>
      </c>
      <c r="AH128" s="5">
        <f>52.25</f>
        <v>52.25</v>
      </c>
      <c r="AI128" s="5">
        <f>0</f>
        <v>0</v>
      </c>
      <c r="AJ128" s="5">
        <f t="shared" si="94"/>
        <v>52.25</v>
      </c>
      <c r="AK128" s="6" t="str">
        <f t="shared" si="95"/>
        <v/>
      </c>
      <c r="AL128" s="4"/>
      <c r="AM128" s="5">
        <f>0</f>
        <v>0</v>
      </c>
      <c r="AN128" s="5">
        <f t="shared" si="96"/>
        <v>0</v>
      </c>
      <c r="AO128" s="6" t="str">
        <f t="shared" si="97"/>
        <v/>
      </c>
      <c r="AP128" s="4"/>
      <c r="AQ128" s="5">
        <f>0</f>
        <v>0</v>
      </c>
      <c r="AR128" s="5">
        <f t="shared" si="98"/>
        <v>0</v>
      </c>
      <c r="AS128" s="6" t="str">
        <f t="shared" si="99"/>
        <v/>
      </c>
      <c r="AT128" s="5">
        <f t="shared" si="100"/>
        <v>87.35</v>
      </c>
      <c r="AU128" s="5">
        <f t="shared" si="101"/>
        <v>2400</v>
      </c>
      <c r="AV128" s="5">
        <f t="shared" si="102"/>
        <v>-2312.65</v>
      </c>
      <c r="AW128" s="6">
        <f t="shared" si="103"/>
        <v>3.6395833333333329E-2</v>
      </c>
    </row>
    <row r="129" spans="1:49" x14ac:dyDescent="0.25">
      <c r="A129" s="3" t="s">
        <v>138</v>
      </c>
      <c r="B129" s="7">
        <f>((((((B119)+(B120))+(B121))+(B122))+(B126))+(B127))+(B128)</f>
        <v>233.41</v>
      </c>
      <c r="C129" s="7">
        <f>((((((C119)+(C120))+(C121))+(C122))+(C126))+(C127))+(C128)</f>
        <v>11950</v>
      </c>
      <c r="D129" s="7">
        <f t="shared" si="78"/>
        <v>-11716.59</v>
      </c>
      <c r="E129" s="8">
        <f t="shared" si="79"/>
        <v>1.9532217573221756E-2</v>
      </c>
      <c r="F129" s="7">
        <f>((((((F119)+(F120))+(F121))+(F122))+(F126))+(F127))+(F128)</f>
        <v>399.57000000000005</v>
      </c>
      <c r="G129" s="7">
        <f>((((((G119)+(G120))+(G121))+(G122))+(G126))+(G127))+(G128)</f>
        <v>0</v>
      </c>
      <c r="H129" s="7">
        <f t="shared" si="80"/>
        <v>399.57000000000005</v>
      </c>
      <c r="I129" s="8" t="str">
        <f t="shared" si="81"/>
        <v/>
      </c>
      <c r="J129" s="7">
        <f>((((((J119)+(J120))+(J121))+(J122))+(J126))+(J127))+(J128)</f>
        <v>358.77</v>
      </c>
      <c r="K129" s="7">
        <f>((((((K119)+(K120))+(K121))+(K122))+(K126))+(K127))+(K128)</f>
        <v>0</v>
      </c>
      <c r="L129" s="7">
        <f t="shared" si="82"/>
        <v>358.77</v>
      </c>
      <c r="M129" s="8" t="str">
        <f t="shared" si="83"/>
        <v/>
      </c>
      <c r="N129" s="7">
        <f>((((((N119)+(N120))+(N121))+(N122))+(N126))+(N127))+(N128)</f>
        <v>257.78999999999996</v>
      </c>
      <c r="O129" s="7">
        <f>((((((O119)+(O120))+(O121))+(O122))+(O126))+(O127))+(O128)</f>
        <v>0</v>
      </c>
      <c r="P129" s="7">
        <f t="shared" si="84"/>
        <v>257.78999999999996</v>
      </c>
      <c r="Q129" s="8" t="str">
        <f t="shared" si="85"/>
        <v/>
      </c>
      <c r="R129" s="7">
        <f>((((((R119)+(R120))+(R121))+(R122))+(R126))+(R127))+(R128)</f>
        <v>702.51</v>
      </c>
      <c r="S129" s="7">
        <f>((((((S119)+(S120))+(S121))+(S122))+(S126))+(S127))+(S128)</f>
        <v>0</v>
      </c>
      <c r="T129" s="7">
        <f t="shared" si="86"/>
        <v>702.51</v>
      </c>
      <c r="U129" s="8" t="str">
        <f t="shared" si="87"/>
        <v/>
      </c>
      <c r="V129" s="7">
        <f>((((((V119)+(V120))+(V121))+(V122))+(V126))+(V127))+(V128)</f>
        <v>581.48</v>
      </c>
      <c r="W129" s="7">
        <f>((((((W119)+(W120))+(W121))+(W122))+(W126))+(W127))+(W128)</f>
        <v>0</v>
      </c>
      <c r="X129" s="7">
        <f t="shared" si="88"/>
        <v>581.48</v>
      </c>
      <c r="Y129" s="8" t="str">
        <f t="shared" si="89"/>
        <v/>
      </c>
      <c r="Z129" s="7">
        <f>((((((Z119)+(Z120))+(Z121))+(Z122))+(Z126))+(Z127))+(Z128)</f>
        <v>286.99</v>
      </c>
      <c r="AA129" s="7">
        <f>((((((AA119)+(AA120))+(AA121))+(AA122))+(AA126))+(AA127))+(AA128)</f>
        <v>0</v>
      </c>
      <c r="AB129" s="7">
        <f t="shared" si="90"/>
        <v>286.99</v>
      </c>
      <c r="AC129" s="8" t="str">
        <f t="shared" si="91"/>
        <v/>
      </c>
      <c r="AD129" s="7">
        <f>((((((AD119)+(AD120))+(AD121))+(AD122))+(AD126))+(AD127))+(AD128)</f>
        <v>87.22999999999999</v>
      </c>
      <c r="AE129" s="7">
        <f>((((((AE119)+(AE120))+(AE121))+(AE122))+(AE126))+(AE127))+(AE128)</f>
        <v>0</v>
      </c>
      <c r="AF129" s="7">
        <f t="shared" si="92"/>
        <v>87.22999999999999</v>
      </c>
      <c r="AG129" s="8" t="str">
        <f t="shared" si="93"/>
        <v/>
      </c>
      <c r="AH129" s="7">
        <f>((((((AH119)+(AH120))+(AH121))+(AH122))+(AH126))+(AH127))+(AH128)</f>
        <v>377.15999999999997</v>
      </c>
      <c r="AI129" s="7">
        <f>((((((AI119)+(AI120))+(AI121))+(AI122))+(AI126))+(AI127))+(AI128)</f>
        <v>0</v>
      </c>
      <c r="AJ129" s="7">
        <f t="shared" si="94"/>
        <v>377.15999999999997</v>
      </c>
      <c r="AK129" s="8" t="str">
        <f t="shared" si="95"/>
        <v/>
      </c>
      <c r="AL129" s="7">
        <f>((((((AL119)+(AL120))+(AL121))+(AL122))+(AL126))+(AL127))+(AL128)</f>
        <v>646.30999999999995</v>
      </c>
      <c r="AM129" s="7">
        <f>((((((AM119)+(AM120))+(AM121))+(AM122))+(AM126))+(AM127))+(AM128)</f>
        <v>0</v>
      </c>
      <c r="AN129" s="7">
        <f t="shared" si="96"/>
        <v>646.30999999999995</v>
      </c>
      <c r="AO129" s="8" t="str">
        <f t="shared" si="97"/>
        <v/>
      </c>
      <c r="AP129" s="7">
        <f>((((((AP119)+(AP120))+(AP121))+(AP122))+(AP126))+(AP127))+(AP128)</f>
        <v>324.85000000000002</v>
      </c>
      <c r="AQ129" s="7">
        <f>((((((AQ119)+(AQ120))+(AQ121))+(AQ122))+(AQ126))+(AQ127))+(AQ128)</f>
        <v>0</v>
      </c>
      <c r="AR129" s="7">
        <f t="shared" si="98"/>
        <v>324.85000000000002</v>
      </c>
      <c r="AS129" s="8" t="str">
        <f t="shared" si="99"/>
        <v/>
      </c>
      <c r="AT129" s="7">
        <f t="shared" si="100"/>
        <v>4256.07</v>
      </c>
      <c r="AU129" s="7">
        <f t="shared" si="101"/>
        <v>11950</v>
      </c>
      <c r="AV129" s="7">
        <f t="shared" si="102"/>
        <v>-7693.93</v>
      </c>
      <c r="AW129" s="8">
        <f t="shared" si="103"/>
        <v>0.35615648535564853</v>
      </c>
    </row>
    <row r="130" spans="1:49" x14ac:dyDescent="0.25">
      <c r="A130" s="3" t="s">
        <v>139</v>
      </c>
      <c r="B130" s="7">
        <f>(((B108)+(B109))+(B118))+(B129)</f>
        <v>3315.29</v>
      </c>
      <c r="C130" s="7">
        <f>(((C108)+(C109))+(C118))+(C129)</f>
        <v>26200</v>
      </c>
      <c r="D130" s="7">
        <f t="shared" si="78"/>
        <v>-22884.71</v>
      </c>
      <c r="E130" s="8">
        <f t="shared" si="79"/>
        <v>0.12653778625954198</v>
      </c>
      <c r="F130" s="7">
        <f>(((F108)+(F109))+(F118))+(F129)</f>
        <v>555.96</v>
      </c>
      <c r="G130" s="7">
        <f>(((G108)+(G109))+(G118))+(G129)</f>
        <v>0</v>
      </c>
      <c r="H130" s="7">
        <f t="shared" si="80"/>
        <v>555.96</v>
      </c>
      <c r="I130" s="8" t="str">
        <f t="shared" si="81"/>
        <v/>
      </c>
      <c r="J130" s="7">
        <f>(((J108)+(J109))+(J118))+(J129)</f>
        <v>462.77</v>
      </c>
      <c r="K130" s="7">
        <f>(((K108)+(K109))+(K118))+(K129)</f>
        <v>0</v>
      </c>
      <c r="L130" s="7">
        <f t="shared" si="82"/>
        <v>462.77</v>
      </c>
      <c r="M130" s="8" t="str">
        <f t="shared" si="83"/>
        <v/>
      </c>
      <c r="N130" s="7">
        <f>(((N108)+(N109))+(N118))+(N129)</f>
        <v>919.44999999999993</v>
      </c>
      <c r="O130" s="7">
        <f>(((O108)+(O109))+(O118))+(O129)</f>
        <v>0</v>
      </c>
      <c r="P130" s="7">
        <f t="shared" si="84"/>
        <v>919.44999999999993</v>
      </c>
      <c r="Q130" s="8" t="str">
        <f t="shared" si="85"/>
        <v/>
      </c>
      <c r="R130" s="7">
        <f>(((R108)+(R109))+(R118))+(R129)</f>
        <v>1506.54</v>
      </c>
      <c r="S130" s="7">
        <f>(((S108)+(S109))+(S118))+(S129)</f>
        <v>0</v>
      </c>
      <c r="T130" s="7">
        <f t="shared" si="86"/>
        <v>1506.54</v>
      </c>
      <c r="U130" s="8" t="str">
        <f t="shared" si="87"/>
        <v/>
      </c>
      <c r="V130" s="7">
        <f>(((V108)+(V109))+(V118))+(V129)</f>
        <v>746.47</v>
      </c>
      <c r="W130" s="7">
        <f>(((W108)+(W109))+(W118))+(W129)</f>
        <v>0</v>
      </c>
      <c r="X130" s="7">
        <f t="shared" si="88"/>
        <v>746.47</v>
      </c>
      <c r="Y130" s="8" t="str">
        <f t="shared" si="89"/>
        <v/>
      </c>
      <c r="Z130" s="7">
        <f>(((Z108)+(Z109))+(Z118))+(Z129)</f>
        <v>1494.46</v>
      </c>
      <c r="AA130" s="7">
        <f>(((AA108)+(AA109))+(AA118))+(AA129)</f>
        <v>0</v>
      </c>
      <c r="AB130" s="7">
        <f t="shared" si="90"/>
        <v>1494.46</v>
      </c>
      <c r="AC130" s="8" t="str">
        <f t="shared" si="91"/>
        <v/>
      </c>
      <c r="AD130" s="7">
        <f>(((AD108)+(AD109))+(AD118))+(AD129)</f>
        <v>970.52</v>
      </c>
      <c r="AE130" s="7">
        <f>(((AE108)+(AE109))+(AE118))+(AE129)</f>
        <v>0</v>
      </c>
      <c r="AF130" s="7">
        <f t="shared" si="92"/>
        <v>970.52</v>
      </c>
      <c r="AG130" s="8" t="str">
        <f t="shared" si="93"/>
        <v/>
      </c>
      <c r="AH130" s="7">
        <f>(((AH108)+(AH109))+(AH118))+(AH129)</f>
        <v>1568.94</v>
      </c>
      <c r="AI130" s="7">
        <f>(((AI108)+(AI109))+(AI118))+(AI129)</f>
        <v>0</v>
      </c>
      <c r="AJ130" s="7">
        <f t="shared" si="94"/>
        <v>1568.94</v>
      </c>
      <c r="AK130" s="8" t="str">
        <f t="shared" si="95"/>
        <v/>
      </c>
      <c r="AL130" s="7">
        <f>(((AL108)+(AL109))+(AL118))+(AL129)</f>
        <v>3030.7799999999997</v>
      </c>
      <c r="AM130" s="7">
        <f>(((AM108)+(AM109))+(AM118))+(AM129)</f>
        <v>0</v>
      </c>
      <c r="AN130" s="7">
        <f t="shared" si="96"/>
        <v>3030.7799999999997</v>
      </c>
      <c r="AO130" s="8" t="str">
        <f t="shared" si="97"/>
        <v/>
      </c>
      <c r="AP130" s="7">
        <f>(((AP108)+(AP109))+(AP118))+(AP129)</f>
        <v>903.04000000000008</v>
      </c>
      <c r="AQ130" s="7">
        <f>(((AQ108)+(AQ109))+(AQ118))+(AQ129)</f>
        <v>0</v>
      </c>
      <c r="AR130" s="7">
        <f t="shared" si="98"/>
        <v>903.04000000000008</v>
      </c>
      <c r="AS130" s="8" t="str">
        <f t="shared" si="99"/>
        <v/>
      </c>
      <c r="AT130" s="7">
        <f t="shared" si="100"/>
        <v>15474.220000000001</v>
      </c>
      <c r="AU130" s="7">
        <f t="shared" si="101"/>
        <v>26200</v>
      </c>
      <c r="AV130" s="7">
        <f t="shared" si="102"/>
        <v>-10725.779999999999</v>
      </c>
      <c r="AW130" s="8">
        <f t="shared" si="103"/>
        <v>0.59061908396946572</v>
      </c>
    </row>
    <row r="131" spans="1:49" x14ac:dyDescent="0.25">
      <c r="A131" s="3" t="s">
        <v>140</v>
      </c>
      <c r="B131" s="4"/>
      <c r="C131" s="4"/>
      <c r="D131" s="5">
        <f t="shared" si="78"/>
        <v>0</v>
      </c>
      <c r="E131" s="6" t="str">
        <f t="shared" si="79"/>
        <v/>
      </c>
      <c r="F131" s="4"/>
      <c r="G131" s="4"/>
      <c r="H131" s="5">
        <f t="shared" si="80"/>
        <v>0</v>
      </c>
      <c r="I131" s="6" t="str">
        <f t="shared" si="81"/>
        <v/>
      </c>
      <c r="J131" s="4"/>
      <c r="K131" s="4"/>
      <c r="L131" s="5">
        <f t="shared" si="82"/>
        <v>0</v>
      </c>
      <c r="M131" s="6" t="str">
        <f t="shared" si="83"/>
        <v/>
      </c>
      <c r="N131" s="4"/>
      <c r="O131" s="4"/>
      <c r="P131" s="5">
        <f t="shared" si="84"/>
        <v>0</v>
      </c>
      <c r="Q131" s="6" t="str">
        <f t="shared" si="85"/>
        <v/>
      </c>
      <c r="R131" s="4"/>
      <c r="S131" s="4"/>
      <c r="T131" s="5">
        <f t="shared" si="86"/>
        <v>0</v>
      </c>
      <c r="U131" s="6" t="str">
        <f t="shared" si="87"/>
        <v/>
      </c>
      <c r="V131" s="4"/>
      <c r="W131" s="4"/>
      <c r="X131" s="5">
        <f t="shared" si="88"/>
        <v>0</v>
      </c>
      <c r="Y131" s="6" t="str">
        <f t="shared" si="89"/>
        <v/>
      </c>
      <c r="Z131" s="4"/>
      <c r="AA131" s="4"/>
      <c r="AB131" s="5">
        <f t="shared" si="90"/>
        <v>0</v>
      </c>
      <c r="AC131" s="6" t="str">
        <f t="shared" si="91"/>
        <v/>
      </c>
      <c r="AD131" s="4"/>
      <c r="AE131" s="4"/>
      <c r="AF131" s="5">
        <f t="shared" si="92"/>
        <v>0</v>
      </c>
      <c r="AG131" s="6" t="str">
        <f t="shared" si="93"/>
        <v/>
      </c>
      <c r="AH131" s="4"/>
      <c r="AI131" s="4"/>
      <c r="AJ131" s="5">
        <f t="shared" si="94"/>
        <v>0</v>
      </c>
      <c r="AK131" s="6" t="str">
        <f t="shared" si="95"/>
        <v/>
      </c>
      <c r="AL131" s="4"/>
      <c r="AM131" s="4"/>
      <c r="AN131" s="5">
        <f t="shared" si="96"/>
        <v>0</v>
      </c>
      <c r="AO131" s="6" t="str">
        <f t="shared" si="97"/>
        <v/>
      </c>
      <c r="AP131" s="4"/>
      <c r="AQ131" s="4"/>
      <c r="AR131" s="5">
        <f t="shared" si="98"/>
        <v>0</v>
      </c>
      <c r="AS131" s="6" t="str">
        <f t="shared" si="99"/>
        <v/>
      </c>
      <c r="AT131" s="5">
        <f t="shared" si="100"/>
        <v>0</v>
      </c>
      <c r="AU131" s="5">
        <f t="shared" si="101"/>
        <v>0</v>
      </c>
      <c r="AV131" s="5">
        <f t="shared" si="102"/>
        <v>0</v>
      </c>
      <c r="AW131" s="6" t="str">
        <f t="shared" si="103"/>
        <v/>
      </c>
    </row>
    <row r="132" spans="1:49" x14ac:dyDescent="0.25">
      <c r="A132" s="3" t="s">
        <v>141</v>
      </c>
      <c r="B132" s="4"/>
      <c r="C132" s="4"/>
      <c r="D132" s="5">
        <f t="shared" si="78"/>
        <v>0</v>
      </c>
      <c r="E132" s="6" t="str">
        <f t="shared" si="79"/>
        <v/>
      </c>
      <c r="F132" s="4"/>
      <c r="G132" s="4"/>
      <c r="H132" s="5">
        <f t="shared" si="80"/>
        <v>0</v>
      </c>
      <c r="I132" s="6" t="str">
        <f t="shared" si="81"/>
        <v/>
      </c>
      <c r="J132" s="4"/>
      <c r="K132" s="4"/>
      <c r="L132" s="5">
        <f t="shared" si="82"/>
        <v>0</v>
      </c>
      <c r="M132" s="6" t="str">
        <f t="shared" si="83"/>
        <v/>
      </c>
      <c r="N132" s="4"/>
      <c r="O132" s="4"/>
      <c r="P132" s="5">
        <f t="shared" si="84"/>
        <v>0</v>
      </c>
      <c r="Q132" s="6" t="str">
        <f t="shared" si="85"/>
        <v/>
      </c>
      <c r="R132" s="4"/>
      <c r="S132" s="4"/>
      <c r="T132" s="5">
        <f t="shared" si="86"/>
        <v>0</v>
      </c>
      <c r="U132" s="6" t="str">
        <f t="shared" si="87"/>
        <v/>
      </c>
      <c r="V132" s="4"/>
      <c r="W132" s="4"/>
      <c r="X132" s="5">
        <f t="shared" si="88"/>
        <v>0</v>
      </c>
      <c r="Y132" s="6" t="str">
        <f t="shared" si="89"/>
        <v/>
      </c>
      <c r="Z132" s="4"/>
      <c r="AA132" s="4"/>
      <c r="AB132" s="5">
        <f t="shared" si="90"/>
        <v>0</v>
      </c>
      <c r="AC132" s="6" t="str">
        <f t="shared" si="91"/>
        <v/>
      </c>
      <c r="AD132" s="4"/>
      <c r="AE132" s="4"/>
      <c r="AF132" s="5">
        <f t="shared" si="92"/>
        <v>0</v>
      </c>
      <c r="AG132" s="6" t="str">
        <f t="shared" si="93"/>
        <v/>
      </c>
      <c r="AH132" s="4"/>
      <c r="AI132" s="4"/>
      <c r="AJ132" s="5">
        <f t="shared" si="94"/>
        <v>0</v>
      </c>
      <c r="AK132" s="6" t="str">
        <f t="shared" si="95"/>
        <v/>
      </c>
      <c r="AL132" s="4"/>
      <c r="AM132" s="4"/>
      <c r="AN132" s="5">
        <f t="shared" si="96"/>
        <v>0</v>
      </c>
      <c r="AO132" s="6" t="str">
        <f t="shared" si="97"/>
        <v/>
      </c>
      <c r="AP132" s="4"/>
      <c r="AQ132" s="4"/>
      <c r="AR132" s="5">
        <f t="shared" si="98"/>
        <v>0</v>
      </c>
      <c r="AS132" s="6" t="str">
        <f t="shared" si="99"/>
        <v/>
      </c>
      <c r="AT132" s="5">
        <f t="shared" si="100"/>
        <v>0</v>
      </c>
      <c r="AU132" s="5">
        <f t="shared" si="101"/>
        <v>0</v>
      </c>
      <c r="AV132" s="5">
        <f t="shared" si="102"/>
        <v>0</v>
      </c>
      <c r="AW132" s="6" t="str">
        <f t="shared" si="103"/>
        <v/>
      </c>
    </row>
    <row r="133" spans="1:49" x14ac:dyDescent="0.25">
      <c r="A133" s="3" t="s">
        <v>142</v>
      </c>
      <c r="B133" s="4"/>
      <c r="C133" s="5">
        <f>500</f>
        <v>500</v>
      </c>
      <c r="D133" s="5">
        <f t="shared" si="78"/>
        <v>-500</v>
      </c>
      <c r="E133" s="6">
        <f t="shared" si="79"/>
        <v>0</v>
      </c>
      <c r="F133" s="5">
        <f>223.45</f>
        <v>223.45</v>
      </c>
      <c r="G133" s="5">
        <f>0</f>
        <v>0</v>
      </c>
      <c r="H133" s="5">
        <f t="shared" si="80"/>
        <v>223.45</v>
      </c>
      <c r="I133" s="6" t="str">
        <f t="shared" si="81"/>
        <v/>
      </c>
      <c r="J133" s="4"/>
      <c r="K133" s="5">
        <f>0</f>
        <v>0</v>
      </c>
      <c r="L133" s="5">
        <f t="shared" si="82"/>
        <v>0</v>
      </c>
      <c r="M133" s="6" t="str">
        <f t="shared" si="83"/>
        <v/>
      </c>
      <c r="N133" s="4"/>
      <c r="O133" s="5">
        <f>0</f>
        <v>0</v>
      </c>
      <c r="P133" s="5">
        <f t="shared" si="84"/>
        <v>0</v>
      </c>
      <c r="Q133" s="6" t="str">
        <f t="shared" si="85"/>
        <v/>
      </c>
      <c r="R133" s="4"/>
      <c r="S133" s="5">
        <f>0</f>
        <v>0</v>
      </c>
      <c r="T133" s="5">
        <f t="shared" si="86"/>
        <v>0</v>
      </c>
      <c r="U133" s="6" t="str">
        <f t="shared" si="87"/>
        <v/>
      </c>
      <c r="V133" s="4"/>
      <c r="W133" s="5">
        <f>0</f>
        <v>0</v>
      </c>
      <c r="X133" s="5">
        <f t="shared" si="88"/>
        <v>0</v>
      </c>
      <c r="Y133" s="6" t="str">
        <f t="shared" si="89"/>
        <v/>
      </c>
      <c r="Z133" s="4"/>
      <c r="AA133" s="5">
        <f>0</f>
        <v>0</v>
      </c>
      <c r="AB133" s="5">
        <f t="shared" si="90"/>
        <v>0</v>
      </c>
      <c r="AC133" s="6" t="str">
        <f t="shared" si="91"/>
        <v/>
      </c>
      <c r="AD133" s="4"/>
      <c r="AE133" s="5">
        <f>0</f>
        <v>0</v>
      </c>
      <c r="AF133" s="5">
        <f t="shared" si="92"/>
        <v>0</v>
      </c>
      <c r="AG133" s="6" t="str">
        <f t="shared" si="93"/>
        <v/>
      </c>
      <c r="AH133" s="4"/>
      <c r="AI133" s="5">
        <f>0</f>
        <v>0</v>
      </c>
      <c r="AJ133" s="5">
        <f t="shared" si="94"/>
        <v>0</v>
      </c>
      <c r="AK133" s="6" t="str">
        <f t="shared" si="95"/>
        <v/>
      </c>
      <c r="AL133" s="4"/>
      <c r="AM133" s="5">
        <f>0</f>
        <v>0</v>
      </c>
      <c r="AN133" s="5">
        <f t="shared" si="96"/>
        <v>0</v>
      </c>
      <c r="AO133" s="6" t="str">
        <f t="shared" si="97"/>
        <v/>
      </c>
      <c r="AP133" s="4"/>
      <c r="AQ133" s="5">
        <f>0</f>
        <v>0</v>
      </c>
      <c r="AR133" s="5">
        <f t="shared" si="98"/>
        <v>0</v>
      </c>
      <c r="AS133" s="6" t="str">
        <f t="shared" si="99"/>
        <v/>
      </c>
      <c r="AT133" s="5">
        <f t="shared" si="100"/>
        <v>223.45</v>
      </c>
      <c r="AU133" s="5">
        <f t="shared" si="101"/>
        <v>500</v>
      </c>
      <c r="AV133" s="5">
        <f t="shared" si="102"/>
        <v>-276.55</v>
      </c>
      <c r="AW133" s="6">
        <f t="shared" si="103"/>
        <v>0.44689999999999996</v>
      </c>
    </row>
    <row r="134" spans="1:49" x14ac:dyDescent="0.25">
      <c r="A134" s="3" t="s">
        <v>143</v>
      </c>
      <c r="B134" s="7">
        <f>(B132)+(B133)</f>
        <v>0</v>
      </c>
      <c r="C134" s="7">
        <f>(C132)+(C133)</f>
        <v>500</v>
      </c>
      <c r="D134" s="7">
        <f t="shared" si="78"/>
        <v>-500</v>
      </c>
      <c r="E134" s="8">
        <f t="shared" si="79"/>
        <v>0</v>
      </c>
      <c r="F134" s="7">
        <f>(F132)+(F133)</f>
        <v>223.45</v>
      </c>
      <c r="G134" s="7">
        <f>(G132)+(G133)</f>
        <v>0</v>
      </c>
      <c r="H134" s="7">
        <f t="shared" si="80"/>
        <v>223.45</v>
      </c>
      <c r="I134" s="8" t="str">
        <f t="shared" si="81"/>
        <v/>
      </c>
      <c r="J134" s="7">
        <f>(J132)+(J133)</f>
        <v>0</v>
      </c>
      <c r="K134" s="7">
        <f>(K132)+(K133)</f>
        <v>0</v>
      </c>
      <c r="L134" s="7">
        <f t="shared" si="82"/>
        <v>0</v>
      </c>
      <c r="M134" s="8" t="str">
        <f t="shared" si="83"/>
        <v/>
      </c>
      <c r="N134" s="7">
        <f>(N132)+(N133)</f>
        <v>0</v>
      </c>
      <c r="O134" s="7">
        <f>(O132)+(O133)</f>
        <v>0</v>
      </c>
      <c r="P134" s="7">
        <f t="shared" si="84"/>
        <v>0</v>
      </c>
      <c r="Q134" s="8" t="str">
        <f t="shared" si="85"/>
        <v/>
      </c>
      <c r="R134" s="7">
        <f>(R132)+(R133)</f>
        <v>0</v>
      </c>
      <c r="S134" s="7">
        <f>(S132)+(S133)</f>
        <v>0</v>
      </c>
      <c r="T134" s="7">
        <f t="shared" si="86"/>
        <v>0</v>
      </c>
      <c r="U134" s="8" t="str">
        <f t="shared" si="87"/>
        <v/>
      </c>
      <c r="V134" s="7">
        <f>(V132)+(V133)</f>
        <v>0</v>
      </c>
      <c r="W134" s="7">
        <f>(W132)+(W133)</f>
        <v>0</v>
      </c>
      <c r="X134" s="7">
        <f t="shared" si="88"/>
        <v>0</v>
      </c>
      <c r="Y134" s="8" t="str">
        <f t="shared" si="89"/>
        <v/>
      </c>
      <c r="Z134" s="7">
        <f>(Z132)+(Z133)</f>
        <v>0</v>
      </c>
      <c r="AA134" s="7">
        <f>(AA132)+(AA133)</f>
        <v>0</v>
      </c>
      <c r="AB134" s="7">
        <f t="shared" si="90"/>
        <v>0</v>
      </c>
      <c r="AC134" s="8" t="str">
        <f t="shared" si="91"/>
        <v/>
      </c>
      <c r="AD134" s="7">
        <f>(AD132)+(AD133)</f>
        <v>0</v>
      </c>
      <c r="AE134" s="7">
        <f>(AE132)+(AE133)</f>
        <v>0</v>
      </c>
      <c r="AF134" s="7">
        <f t="shared" si="92"/>
        <v>0</v>
      </c>
      <c r="AG134" s="8" t="str">
        <f t="shared" si="93"/>
        <v/>
      </c>
      <c r="AH134" s="7">
        <f>(AH132)+(AH133)</f>
        <v>0</v>
      </c>
      <c r="AI134" s="7">
        <f>(AI132)+(AI133)</f>
        <v>0</v>
      </c>
      <c r="AJ134" s="7">
        <f t="shared" si="94"/>
        <v>0</v>
      </c>
      <c r="AK134" s="8" t="str">
        <f t="shared" si="95"/>
        <v/>
      </c>
      <c r="AL134" s="7">
        <f>(AL132)+(AL133)</f>
        <v>0</v>
      </c>
      <c r="AM134" s="7">
        <f>(AM132)+(AM133)</f>
        <v>0</v>
      </c>
      <c r="AN134" s="7">
        <f t="shared" si="96"/>
        <v>0</v>
      </c>
      <c r="AO134" s="8" t="str">
        <f t="shared" si="97"/>
        <v/>
      </c>
      <c r="AP134" s="7">
        <f>(AP132)+(AP133)</f>
        <v>0</v>
      </c>
      <c r="AQ134" s="7">
        <f>(AQ132)+(AQ133)</f>
        <v>0</v>
      </c>
      <c r="AR134" s="7">
        <f t="shared" si="98"/>
        <v>0</v>
      </c>
      <c r="AS134" s="8" t="str">
        <f t="shared" si="99"/>
        <v/>
      </c>
      <c r="AT134" s="7">
        <f t="shared" si="100"/>
        <v>223.45</v>
      </c>
      <c r="AU134" s="7">
        <f t="shared" si="101"/>
        <v>500</v>
      </c>
      <c r="AV134" s="7">
        <f t="shared" si="102"/>
        <v>-276.55</v>
      </c>
      <c r="AW134" s="8">
        <f t="shared" si="103"/>
        <v>0.44689999999999996</v>
      </c>
    </row>
    <row r="135" spans="1:49" x14ac:dyDescent="0.25">
      <c r="A135" s="3" t="s">
        <v>144</v>
      </c>
      <c r="B135" s="4"/>
      <c r="C135" s="4"/>
      <c r="D135" s="5">
        <f t="shared" si="78"/>
        <v>0</v>
      </c>
      <c r="E135" s="6" t="str">
        <f t="shared" si="79"/>
        <v/>
      </c>
      <c r="F135" s="4"/>
      <c r="G135" s="4"/>
      <c r="H135" s="5">
        <f t="shared" si="80"/>
        <v>0</v>
      </c>
      <c r="I135" s="6" t="str">
        <f t="shared" si="81"/>
        <v/>
      </c>
      <c r="J135" s="5">
        <f>361.37</f>
        <v>361.37</v>
      </c>
      <c r="K135" s="4"/>
      <c r="L135" s="5">
        <f t="shared" si="82"/>
        <v>361.37</v>
      </c>
      <c r="M135" s="6" t="str">
        <f t="shared" si="83"/>
        <v/>
      </c>
      <c r="N135" s="4"/>
      <c r="O135" s="4"/>
      <c r="P135" s="5">
        <f t="shared" si="84"/>
        <v>0</v>
      </c>
      <c r="Q135" s="6" t="str">
        <f t="shared" si="85"/>
        <v/>
      </c>
      <c r="R135" s="4"/>
      <c r="S135" s="4"/>
      <c r="T135" s="5">
        <f t="shared" si="86"/>
        <v>0</v>
      </c>
      <c r="U135" s="6" t="str">
        <f t="shared" si="87"/>
        <v/>
      </c>
      <c r="V135" s="4"/>
      <c r="W135" s="4"/>
      <c r="X135" s="5">
        <f t="shared" si="88"/>
        <v>0</v>
      </c>
      <c r="Y135" s="6" t="str">
        <f t="shared" si="89"/>
        <v/>
      </c>
      <c r="Z135" s="4"/>
      <c r="AA135" s="4"/>
      <c r="AB135" s="5">
        <f t="shared" si="90"/>
        <v>0</v>
      </c>
      <c r="AC135" s="6" t="str">
        <f t="shared" si="91"/>
        <v/>
      </c>
      <c r="AD135" s="5">
        <f>126.16</f>
        <v>126.16</v>
      </c>
      <c r="AE135" s="4"/>
      <c r="AF135" s="5">
        <f t="shared" si="92"/>
        <v>126.16</v>
      </c>
      <c r="AG135" s="6" t="str">
        <f t="shared" si="93"/>
        <v/>
      </c>
      <c r="AH135" s="5">
        <f>546.88</f>
        <v>546.88</v>
      </c>
      <c r="AI135" s="4"/>
      <c r="AJ135" s="5">
        <f t="shared" si="94"/>
        <v>546.88</v>
      </c>
      <c r="AK135" s="6" t="str">
        <f t="shared" si="95"/>
        <v/>
      </c>
      <c r="AL135" s="4"/>
      <c r="AM135" s="4"/>
      <c r="AN135" s="5">
        <f t="shared" si="96"/>
        <v>0</v>
      </c>
      <c r="AO135" s="6" t="str">
        <f t="shared" si="97"/>
        <v/>
      </c>
      <c r="AP135" s="5">
        <f>-122</f>
        <v>-122</v>
      </c>
      <c r="AQ135" s="4"/>
      <c r="AR135" s="5">
        <f t="shared" si="98"/>
        <v>-122</v>
      </c>
      <c r="AS135" s="6" t="str">
        <f t="shared" si="99"/>
        <v/>
      </c>
      <c r="AT135" s="5">
        <f t="shared" si="100"/>
        <v>912.40999999999985</v>
      </c>
      <c r="AU135" s="5">
        <f t="shared" si="101"/>
        <v>0</v>
      </c>
      <c r="AV135" s="5">
        <f t="shared" si="102"/>
        <v>912.40999999999985</v>
      </c>
      <c r="AW135" s="6" t="str">
        <f t="shared" si="103"/>
        <v/>
      </c>
    </row>
    <row r="136" spans="1:49" x14ac:dyDescent="0.25">
      <c r="A136" s="3" t="s">
        <v>145</v>
      </c>
      <c r="B136" s="4"/>
      <c r="C136" s="5">
        <f>750</f>
        <v>750</v>
      </c>
      <c r="D136" s="5">
        <f t="shared" si="78"/>
        <v>-750</v>
      </c>
      <c r="E136" s="6">
        <f t="shared" si="79"/>
        <v>0</v>
      </c>
      <c r="F136" s="4"/>
      <c r="G136" s="5">
        <f>0</f>
        <v>0</v>
      </c>
      <c r="H136" s="5">
        <f t="shared" si="80"/>
        <v>0</v>
      </c>
      <c r="I136" s="6" t="str">
        <f t="shared" si="81"/>
        <v/>
      </c>
      <c r="J136" s="5">
        <f>640</f>
        <v>640</v>
      </c>
      <c r="K136" s="5">
        <f>0</f>
        <v>0</v>
      </c>
      <c r="L136" s="5">
        <f t="shared" si="82"/>
        <v>640</v>
      </c>
      <c r="M136" s="6" t="str">
        <f t="shared" si="83"/>
        <v/>
      </c>
      <c r="N136" s="5">
        <f>80</f>
        <v>80</v>
      </c>
      <c r="O136" s="5">
        <f>0</f>
        <v>0</v>
      </c>
      <c r="P136" s="5">
        <f t="shared" si="84"/>
        <v>80</v>
      </c>
      <c r="Q136" s="6" t="str">
        <f t="shared" si="85"/>
        <v/>
      </c>
      <c r="R136" s="4"/>
      <c r="S136" s="5">
        <f>0</f>
        <v>0</v>
      </c>
      <c r="T136" s="5">
        <f t="shared" si="86"/>
        <v>0</v>
      </c>
      <c r="U136" s="6" t="str">
        <f t="shared" si="87"/>
        <v/>
      </c>
      <c r="V136" s="4"/>
      <c r="W136" s="5">
        <f>0</f>
        <v>0</v>
      </c>
      <c r="X136" s="5">
        <f t="shared" si="88"/>
        <v>0</v>
      </c>
      <c r="Y136" s="6" t="str">
        <f t="shared" si="89"/>
        <v/>
      </c>
      <c r="Z136" s="4"/>
      <c r="AA136" s="5">
        <f>0</f>
        <v>0</v>
      </c>
      <c r="AB136" s="5">
        <f t="shared" si="90"/>
        <v>0</v>
      </c>
      <c r="AC136" s="6" t="str">
        <f t="shared" si="91"/>
        <v/>
      </c>
      <c r="AD136" s="4"/>
      <c r="AE136" s="5">
        <f>0</f>
        <v>0</v>
      </c>
      <c r="AF136" s="5">
        <f t="shared" si="92"/>
        <v>0</v>
      </c>
      <c r="AG136" s="6" t="str">
        <f t="shared" si="93"/>
        <v/>
      </c>
      <c r="AH136" s="4"/>
      <c r="AI136" s="5">
        <f>0</f>
        <v>0</v>
      </c>
      <c r="AJ136" s="5">
        <f t="shared" si="94"/>
        <v>0</v>
      </c>
      <c r="AK136" s="6" t="str">
        <f t="shared" si="95"/>
        <v/>
      </c>
      <c r="AL136" s="5">
        <f>115</f>
        <v>115</v>
      </c>
      <c r="AM136" s="5">
        <f>0</f>
        <v>0</v>
      </c>
      <c r="AN136" s="5">
        <f t="shared" si="96"/>
        <v>115</v>
      </c>
      <c r="AO136" s="6" t="str">
        <f t="shared" si="97"/>
        <v/>
      </c>
      <c r="AP136" s="5">
        <f>75</f>
        <v>75</v>
      </c>
      <c r="AQ136" s="5">
        <f>0</f>
        <v>0</v>
      </c>
      <c r="AR136" s="5">
        <f t="shared" si="98"/>
        <v>75</v>
      </c>
      <c r="AS136" s="6" t="str">
        <f t="shared" si="99"/>
        <v/>
      </c>
      <c r="AT136" s="5">
        <f t="shared" si="100"/>
        <v>910</v>
      </c>
      <c r="AU136" s="5">
        <f t="shared" si="101"/>
        <v>750</v>
      </c>
      <c r="AV136" s="5">
        <f t="shared" si="102"/>
        <v>160</v>
      </c>
      <c r="AW136" s="6">
        <f t="shared" si="103"/>
        <v>1.2133333333333334</v>
      </c>
    </row>
    <row r="137" spans="1:49" x14ac:dyDescent="0.25">
      <c r="A137" s="3" t="s">
        <v>146</v>
      </c>
      <c r="B137" s="4"/>
      <c r="C137" s="5">
        <f>1750</f>
        <v>1750</v>
      </c>
      <c r="D137" s="5">
        <f t="shared" si="78"/>
        <v>-1750</v>
      </c>
      <c r="E137" s="6">
        <f t="shared" si="79"/>
        <v>0</v>
      </c>
      <c r="F137" s="4"/>
      <c r="G137" s="5">
        <f>0</f>
        <v>0</v>
      </c>
      <c r="H137" s="5">
        <f t="shared" si="80"/>
        <v>0</v>
      </c>
      <c r="I137" s="6" t="str">
        <f t="shared" si="81"/>
        <v/>
      </c>
      <c r="J137" s="5">
        <f>211.84</f>
        <v>211.84</v>
      </c>
      <c r="K137" s="5">
        <f>0</f>
        <v>0</v>
      </c>
      <c r="L137" s="5">
        <f t="shared" si="82"/>
        <v>211.84</v>
      </c>
      <c r="M137" s="6" t="str">
        <f t="shared" si="83"/>
        <v/>
      </c>
      <c r="N137" s="5">
        <f>694</f>
        <v>694</v>
      </c>
      <c r="O137" s="5">
        <f>0</f>
        <v>0</v>
      </c>
      <c r="P137" s="5">
        <f t="shared" si="84"/>
        <v>694</v>
      </c>
      <c r="Q137" s="6" t="str">
        <f t="shared" si="85"/>
        <v/>
      </c>
      <c r="R137" s="4"/>
      <c r="S137" s="5">
        <f>0</f>
        <v>0</v>
      </c>
      <c r="T137" s="5">
        <f t="shared" si="86"/>
        <v>0</v>
      </c>
      <c r="U137" s="6" t="str">
        <f t="shared" si="87"/>
        <v/>
      </c>
      <c r="V137" s="5">
        <f>503.58</f>
        <v>503.58</v>
      </c>
      <c r="W137" s="5">
        <f>0</f>
        <v>0</v>
      </c>
      <c r="X137" s="5">
        <f t="shared" si="88"/>
        <v>503.58</v>
      </c>
      <c r="Y137" s="6" t="str">
        <f t="shared" si="89"/>
        <v/>
      </c>
      <c r="Z137" s="4"/>
      <c r="AA137" s="5">
        <f>0</f>
        <v>0</v>
      </c>
      <c r="AB137" s="5">
        <f t="shared" si="90"/>
        <v>0</v>
      </c>
      <c r="AC137" s="6" t="str">
        <f t="shared" si="91"/>
        <v/>
      </c>
      <c r="AD137" s="4"/>
      <c r="AE137" s="5">
        <f>0</f>
        <v>0</v>
      </c>
      <c r="AF137" s="5">
        <f t="shared" si="92"/>
        <v>0</v>
      </c>
      <c r="AG137" s="6" t="str">
        <f t="shared" si="93"/>
        <v/>
      </c>
      <c r="AH137" s="4"/>
      <c r="AI137" s="5">
        <f>0</f>
        <v>0</v>
      </c>
      <c r="AJ137" s="5">
        <f t="shared" si="94"/>
        <v>0</v>
      </c>
      <c r="AK137" s="6" t="str">
        <f t="shared" si="95"/>
        <v/>
      </c>
      <c r="AL137" s="4"/>
      <c r="AM137" s="5">
        <f>0</f>
        <v>0</v>
      </c>
      <c r="AN137" s="5">
        <f t="shared" si="96"/>
        <v>0</v>
      </c>
      <c r="AO137" s="6" t="str">
        <f t="shared" si="97"/>
        <v/>
      </c>
      <c r="AP137" s="5">
        <f>1184.98</f>
        <v>1184.98</v>
      </c>
      <c r="AQ137" s="5">
        <f>0</f>
        <v>0</v>
      </c>
      <c r="AR137" s="5">
        <f t="shared" si="98"/>
        <v>1184.98</v>
      </c>
      <c r="AS137" s="6" t="str">
        <f t="shared" si="99"/>
        <v/>
      </c>
      <c r="AT137" s="5">
        <f t="shared" si="100"/>
        <v>2594.4</v>
      </c>
      <c r="AU137" s="5">
        <f t="shared" si="101"/>
        <v>1750</v>
      </c>
      <c r="AV137" s="5">
        <f t="shared" si="102"/>
        <v>844.40000000000009</v>
      </c>
      <c r="AW137" s="6">
        <f t="shared" si="103"/>
        <v>1.4825142857142857</v>
      </c>
    </row>
    <row r="138" spans="1:49" x14ac:dyDescent="0.25">
      <c r="A138" s="3" t="s">
        <v>147</v>
      </c>
      <c r="B138" s="7">
        <f>((B135)+(B136))+(B137)</f>
        <v>0</v>
      </c>
      <c r="C138" s="7">
        <f>((C135)+(C136))+(C137)</f>
        <v>2500</v>
      </c>
      <c r="D138" s="7">
        <f t="shared" si="78"/>
        <v>-2500</v>
      </c>
      <c r="E138" s="8">
        <f t="shared" si="79"/>
        <v>0</v>
      </c>
      <c r="F138" s="7">
        <f>((F135)+(F136))+(F137)</f>
        <v>0</v>
      </c>
      <c r="G138" s="7">
        <f>((G135)+(G136))+(G137)</f>
        <v>0</v>
      </c>
      <c r="H138" s="7">
        <f t="shared" si="80"/>
        <v>0</v>
      </c>
      <c r="I138" s="8" t="str">
        <f t="shared" si="81"/>
        <v/>
      </c>
      <c r="J138" s="7">
        <f>((J135)+(J136))+(J137)</f>
        <v>1213.21</v>
      </c>
      <c r="K138" s="7">
        <f>((K135)+(K136))+(K137)</f>
        <v>0</v>
      </c>
      <c r="L138" s="7">
        <f t="shared" si="82"/>
        <v>1213.21</v>
      </c>
      <c r="M138" s="8" t="str">
        <f t="shared" si="83"/>
        <v/>
      </c>
      <c r="N138" s="7">
        <f>((N135)+(N136))+(N137)</f>
        <v>774</v>
      </c>
      <c r="O138" s="7">
        <f>((O135)+(O136))+(O137)</f>
        <v>0</v>
      </c>
      <c r="P138" s="7">
        <f t="shared" si="84"/>
        <v>774</v>
      </c>
      <c r="Q138" s="8" t="str">
        <f t="shared" si="85"/>
        <v/>
      </c>
      <c r="R138" s="7">
        <f>((R135)+(R136))+(R137)</f>
        <v>0</v>
      </c>
      <c r="S138" s="7">
        <f>((S135)+(S136))+(S137)</f>
        <v>0</v>
      </c>
      <c r="T138" s="7">
        <f t="shared" si="86"/>
        <v>0</v>
      </c>
      <c r="U138" s="8" t="str">
        <f t="shared" si="87"/>
        <v/>
      </c>
      <c r="V138" s="7">
        <f>((V135)+(V136))+(V137)</f>
        <v>503.58</v>
      </c>
      <c r="W138" s="7">
        <f>((W135)+(W136))+(W137)</f>
        <v>0</v>
      </c>
      <c r="X138" s="7">
        <f t="shared" si="88"/>
        <v>503.58</v>
      </c>
      <c r="Y138" s="8" t="str">
        <f t="shared" si="89"/>
        <v/>
      </c>
      <c r="Z138" s="7">
        <f>((Z135)+(Z136))+(Z137)</f>
        <v>0</v>
      </c>
      <c r="AA138" s="7">
        <f>((AA135)+(AA136))+(AA137)</f>
        <v>0</v>
      </c>
      <c r="AB138" s="7">
        <f t="shared" si="90"/>
        <v>0</v>
      </c>
      <c r="AC138" s="8" t="str">
        <f t="shared" si="91"/>
        <v/>
      </c>
      <c r="AD138" s="7">
        <f>((AD135)+(AD136))+(AD137)</f>
        <v>126.16</v>
      </c>
      <c r="AE138" s="7">
        <f>((AE135)+(AE136))+(AE137)</f>
        <v>0</v>
      </c>
      <c r="AF138" s="7">
        <f t="shared" si="92"/>
        <v>126.16</v>
      </c>
      <c r="AG138" s="8" t="str">
        <f t="shared" si="93"/>
        <v/>
      </c>
      <c r="AH138" s="7">
        <f>((AH135)+(AH136))+(AH137)</f>
        <v>546.88</v>
      </c>
      <c r="AI138" s="7">
        <f>((AI135)+(AI136))+(AI137)</f>
        <v>0</v>
      </c>
      <c r="AJ138" s="7">
        <f t="shared" si="94"/>
        <v>546.88</v>
      </c>
      <c r="AK138" s="8" t="str">
        <f t="shared" si="95"/>
        <v/>
      </c>
      <c r="AL138" s="7">
        <f>((AL135)+(AL136))+(AL137)</f>
        <v>115</v>
      </c>
      <c r="AM138" s="7">
        <f>((AM135)+(AM136))+(AM137)</f>
        <v>0</v>
      </c>
      <c r="AN138" s="7">
        <f t="shared" si="96"/>
        <v>115</v>
      </c>
      <c r="AO138" s="8" t="str">
        <f t="shared" si="97"/>
        <v/>
      </c>
      <c r="AP138" s="7">
        <f>((AP135)+(AP136))+(AP137)</f>
        <v>1137.98</v>
      </c>
      <c r="AQ138" s="7">
        <f>((AQ135)+(AQ136))+(AQ137)</f>
        <v>0</v>
      </c>
      <c r="AR138" s="7">
        <f t="shared" si="98"/>
        <v>1137.98</v>
      </c>
      <c r="AS138" s="8" t="str">
        <f t="shared" si="99"/>
        <v/>
      </c>
      <c r="AT138" s="7">
        <f t="shared" si="100"/>
        <v>4416.8099999999995</v>
      </c>
      <c r="AU138" s="7">
        <f t="shared" si="101"/>
        <v>2500</v>
      </c>
      <c r="AV138" s="7">
        <f t="shared" si="102"/>
        <v>1916.8099999999995</v>
      </c>
      <c r="AW138" s="8">
        <f t="shared" si="103"/>
        <v>1.7667239999999997</v>
      </c>
    </row>
    <row r="139" spans="1:49" x14ac:dyDescent="0.25">
      <c r="A139" s="3" t="s">
        <v>148</v>
      </c>
      <c r="B139" s="4"/>
      <c r="C139" s="4"/>
      <c r="D139" s="5">
        <f t="shared" si="78"/>
        <v>0</v>
      </c>
      <c r="E139" s="6" t="str">
        <f t="shared" si="79"/>
        <v/>
      </c>
      <c r="F139" s="4"/>
      <c r="G139" s="4"/>
      <c r="H139" s="5">
        <f t="shared" si="80"/>
        <v>0</v>
      </c>
      <c r="I139" s="6" t="str">
        <f t="shared" si="81"/>
        <v/>
      </c>
      <c r="J139" s="4"/>
      <c r="K139" s="4"/>
      <c r="L139" s="5">
        <f t="shared" si="82"/>
        <v>0</v>
      </c>
      <c r="M139" s="6" t="str">
        <f t="shared" si="83"/>
        <v/>
      </c>
      <c r="N139" s="4"/>
      <c r="O139" s="4"/>
      <c r="P139" s="5">
        <f t="shared" si="84"/>
        <v>0</v>
      </c>
      <c r="Q139" s="6" t="str">
        <f t="shared" si="85"/>
        <v/>
      </c>
      <c r="R139" s="4"/>
      <c r="S139" s="4"/>
      <c r="T139" s="5">
        <f t="shared" si="86"/>
        <v>0</v>
      </c>
      <c r="U139" s="6" t="str">
        <f t="shared" si="87"/>
        <v/>
      </c>
      <c r="V139" s="4"/>
      <c r="W139" s="4"/>
      <c r="X139" s="5">
        <f t="shared" si="88"/>
        <v>0</v>
      </c>
      <c r="Y139" s="6" t="str">
        <f t="shared" si="89"/>
        <v/>
      </c>
      <c r="Z139" s="4"/>
      <c r="AA139" s="4"/>
      <c r="AB139" s="5">
        <f t="shared" si="90"/>
        <v>0</v>
      </c>
      <c r="AC139" s="6" t="str">
        <f t="shared" si="91"/>
        <v/>
      </c>
      <c r="AD139" s="4"/>
      <c r="AE139" s="4"/>
      <c r="AF139" s="5">
        <f t="shared" si="92"/>
        <v>0</v>
      </c>
      <c r="AG139" s="6" t="str">
        <f t="shared" si="93"/>
        <v/>
      </c>
      <c r="AH139" s="4"/>
      <c r="AI139" s="4"/>
      <c r="AJ139" s="5">
        <f t="shared" si="94"/>
        <v>0</v>
      </c>
      <c r="AK139" s="6" t="str">
        <f t="shared" si="95"/>
        <v/>
      </c>
      <c r="AL139" s="4"/>
      <c r="AM139" s="4"/>
      <c r="AN139" s="5">
        <f t="shared" si="96"/>
        <v>0</v>
      </c>
      <c r="AO139" s="6" t="str">
        <f t="shared" si="97"/>
        <v/>
      </c>
      <c r="AP139" s="4"/>
      <c r="AQ139" s="4"/>
      <c r="AR139" s="5">
        <f t="shared" si="98"/>
        <v>0</v>
      </c>
      <c r="AS139" s="6" t="str">
        <f t="shared" si="99"/>
        <v/>
      </c>
      <c r="AT139" s="5">
        <f t="shared" si="100"/>
        <v>0</v>
      </c>
      <c r="AU139" s="5">
        <f t="shared" si="101"/>
        <v>0</v>
      </c>
      <c r="AV139" s="5">
        <f t="shared" si="102"/>
        <v>0</v>
      </c>
      <c r="AW139" s="6" t="str">
        <f t="shared" si="103"/>
        <v/>
      </c>
    </row>
    <row r="140" spans="1:49" x14ac:dyDescent="0.25">
      <c r="A140" s="3" t="s">
        <v>149</v>
      </c>
      <c r="B140" s="5">
        <f>918.13</f>
        <v>918.13</v>
      </c>
      <c r="C140" s="5">
        <f>20000</f>
        <v>20000</v>
      </c>
      <c r="D140" s="5">
        <f t="shared" si="78"/>
        <v>-19081.87</v>
      </c>
      <c r="E140" s="6">
        <f t="shared" si="79"/>
        <v>4.5906500000000003E-2</v>
      </c>
      <c r="F140" s="5">
        <f>918.13</f>
        <v>918.13</v>
      </c>
      <c r="G140" s="5">
        <f>0</f>
        <v>0</v>
      </c>
      <c r="H140" s="5">
        <f t="shared" si="80"/>
        <v>918.13</v>
      </c>
      <c r="I140" s="6" t="str">
        <f t="shared" si="81"/>
        <v/>
      </c>
      <c r="J140" s="5">
        <f>918.13</f>
        <v>918.13</v>
      </c>
      <c r="K140" s="5">
        <f>0</f>
        <v>0</v>
      </c>
      <c r="L140" s="5">
        <f t="shared" si="82"/>
        <v>918.13</v>
      </c>
      <c r="M140" s="6" t="str">
        <f t="shared" si="83"/>
        <v/>
      </c>
      <c r="N140" s="5">
        <f>918.13</f>
        <v>918.13</v>
      </c>
      <c r="O140" s="5">
        <f>0</f>
        <v>0</v>
      </c>
      <c r="P140" s="5">
        <f t="shared" si="84"/>
        <v>918.13</v>
      </c>
      <c r="Q140" s="6" t="str">
        <f t="shared" si="85"/>
        <v/>
      </c>
      <c r="R140" s="5">
        <f>918.13</f>
        <v>918.13</v>
      </c>
      <c r="S140" s="5">
        <f>0</f>
        <v>0</v>
      </c>
      <c r="T140" s="5">
        <f t="shared" si="86"/>
        <v>918.13</v>
      </c>
      <c r="U140" s="6" t="str">
        <f t="shared" si="87"/>
        <v/>
      </c>
      <c r="V140" s="4"/>
      <c r="W140" s="5">
        <f>0</f>
        <v>0</v>
      </c>
      <c r="X140" s="5">
        <f t="shared" si="88"/>
        <v>0</v>
      </c>
      <c r="Y140" s="6" t="str">
        <f t="shared" si="89"/>
        <v/>
      </c>
      <c r="Z140" s="4"/>
      <c r="AA140" s="5">
        <f>0</f>
        <v>0</v>
      </c>
      <c r="AB140" s="5">
        <f t="shared" si="90"/>
        <v>0</v>
      </c>
      <c r="AC140" s="6" t="str">
        <f t="shared" si="91"/>
        <v/>
      </c>
      <c r="AD140" s="4"/>
      <c r="AE140" s="5">
        <f>0</f>
        <v>0</v>
      </c>
      <c r="AF140" s="5">
        <f t="shared" si="92"/>
        <v>0</v>
      </c>
      <c r="AG140" s="6" t="str">
        <f t="shared" si="93"/>
        <v/>
      </c>
      <c r="AH140" s="4"/>
      <c r="AI140" s="5">
        <f>0</f>
        <v>0</v>
      </c>
      <c r="AJ140" s="5">
        <f t="shared" si="94"/>
        <v>0</v>
      </c>
      <c r="AK140" s="6" t="str">
        <f t="shared" si="95"/>
        <v/>
      </c>
      <c r="AL140" s="4"/>
      <c r="AM140" s="5">
        <f>0</f>
        <v>0</v>
      </c>
      <c r="AN140" s="5">
        <f t="shared" si="96"/>
        <v>0</v>
      </c>
      <c r="AO140" s="6" t="str">
        <f t="shared" si="97"/>
        <v/>
      </c>
      <c r="AP140" s="4"/>
      <c r="AQ140" s="5">
        <f>0</f>
        <v>0</v>
      </c>
      <c r="AR140" s="5">
        <f t="shared" si="98"/>
        <v>0</v>
      </c>
      <c r="AS140" s="6" t="str">
        <f t="shared" si="99"/>
        <v/>
      </c>
      <c r="AT140" s="5">
        <f t="shared" si="100"/>
        <v>4590.6499999999996</v>
      </c>
      <c r="AU140" s="5">
        <f t="shared" si="101"/>
        <v>20000</v>
      </c>
      <c r="AV140" s="5">
        <f t="shared" si="102"/>
        <v>-15409.35</v>
      </c>
      <c r="AW140" s="6">
        <f t="shared" si="103"/>
        <v>0.22953249999999997</v>
      </c>
    </row>
    <row r="141" spans="1:49" x14ac:dyDescent="0.25">
      <c r="A141" s="3" t="s">
        <v>150</v>
      </c>
      <c r="B141" s="5">
        <f>1505.42</f>
        <v>1505.42</v>
      </c>
      <c r="C141" s="5">
        <f>25237</f>
        <v>25237</v>
      </c>
      <c r="D141" s="5">
        <f t="shared" si="78"/>
        <v>-23731.58</v>
      </c>
      <c r="E141" s="6">
        <f t="shared" si="79"/>
        <v>5.965130562269684E-2</v>
      </c>
      <c r="F141" s="5">
        <f>1532.5</f>
        <v>1532.5</v>
      </c>
      <c r="G141" s="5">
        <f>0</f>
        <v>0</v>
      </c>
      <c r="H141" s="5">
        <f t="shared" si="80"/>
        <v>1532.5</v>
      </c>
      <c r="I141" s="6" t="str">
        <f t="shared" si="81"/>
        <v/>
      </c>
      <c r="J141" s="5">
        <f>1495.9</f>
        <v>1495.9</v>
      </c>
      <c r="K141" s="5">
        <f>0</f>
        <v>0</v>
      </c>
      <c r="L141" s="5">
        <f t="shared" si="82"/>
        <v>1495.9</v>
      </c>
      <c r="M141" s="6" t="str">
        <f t="shared" si="83"/>
        <v/>
      </c>
      <c r="N141" s="5">
        <f>1461.47</f>
        <v>1461.47</v>
      </c>
      <c r="O141" s="5">
        <f>0</f>
        <v>0</v>
      </c>
      <c r="P141" s="5">
        <f t="shared" si="84"/>
        <v>1461.47</v>
      </c>
      <c r="Q141" s="6" t="str">
        <f t="shared" si="85"/>
        <v/>
      </c>
      <c r="R141" s="5">
        <f>2234.71</f>
        <v>2234.71</v>
      </c>
      <c r="S141" s="5">
        <f>0</f>
        <v>0</v>
      </c>
      <c r="T141" s="5">
        <f t="shared" si="86"/>
        <v>2234.71</v>
      </c>
      <c r="U141" s="6" t="str">
        <f t="shared" si="87"/>
        <v/>
      </c>
      <c r="V141" s="5">
        <f>1504.14</f>
        <v>1504.14</v>
      </c>
      <c r="W141" s="5">
        <f>0</f>
        <v>0</v>
      </c>
      <c r="X141" s="5">
        <f t="shared" si="88"/>
        <v>1504.14</v>
      </c>
      <c r="Y141" s="6" t="str">
        <f t="shared" si="89"/>
        <v/>
      </c>
      <c r="Z141" s="5">
        <f>1317.69</f>
        <v>1317.69</v>
      </c>
      <c r="AA141" s="5">
        <f>0</f>
        <v>0</v>
      </c>
      <c r="AB141" s="5">
        <f t="shared" si="90"/>
        <v>1317.69</v>
      </c>
      <c r="AC141" s="6" t="str">
        <f t="shared" si="91"/>
        <v/>
      </c>
      <c r="AD141" s="5">
        <f>1191.99</f>
        <v>1191.99</v>
      </c>
      <c r="AE141" s="5">
        <f>0</f>
        <v>0</v>
      </c>
      <c r="AF141" s="5">
        <f t="shared" si="92"/>
        <v>1191.99</v>
      </c>
      <c r="AG141" s="6" t="str">
        <f t="shared" si="93"/>
        <v/>
      </c>
      <c r="AH141" s="5">
        <f>1149.67</f>
        <v>1149.67</v>
      </c>
      <c r="AI141" s="5">
        <f>0</f>
        <v>0</v>
      </c>
      <c r="AJ141" s="5">
        <f t="shared" si="94"/>
        <v>1149.67</v>
      </c>
      <c r="AK141" s="6" t="str">
        <f t="shared" si="95"/>
        <v/>
      </c>
      <c r="AL141" s="5">
        <f>1788.38</f>
        <v>1788.38</v>
      </c>
      <c r="AM141" s="5">
        <f>0</f>
        <v>0</v>
      </c>
      <c r="AN141" s="5">
        <f t="shared" si="96"/>
        <v>1788.38</v>
      </c>
      <c r="AO141" s="6" t="str">
        <f t="shared" si="97"/>
        <v/>
      </c>
      <c r="AP141" s="5">
        <f>1171.64</f>
        <v>1171.6400000000001</v>
      </c>
      <c r="AQ141" s="5">
        <f>0</f>
        <v>0</v>
      </c>
      <c r="AR141" s="5">
        <f t="shared" si="98"/>
        <v>1171.6400000000001</v>
      </c>
      <c r="AS141" s="6" t="str">
        <f t="shared" si="99"/>
        <v/>
      </c>
      <c r="AT141" s="5">
        <f t="shared" si="100"/>
        <v>16353.509999999998</v>
      </c>
      <c r="AU141" s="5">
        <f t="shared" si="101"/>
        <v>25237</v>
      </c>
      <c r="AV141" s="5">
        <f t="shared" si="102"/>
        <v>-8883.4900000000016</v>
      </c>
      <c r="AW141" s="6">
        <f t="shared" si="103"/>
        <v>0.64799738479217017</v>
      </c>
    </row>
    <row r="142" spans="1:49" x14ac:dyDescent="0.25">
      <c r="A142" s="3" t="s">
        <v>151</v>
      </c>
      <c r="B142" s="5">
        <f>42.5</f>
        <v>42.5</v>
      </c>
      <c r="C142" s="5">
        <f>2000</f>
        <v>2000</v>
      </c>
      <c r="D142" s="5">
        <f t="shared" si="78"/>
        <v>-1957.5</v>
      </c>
      <c r="E142" s="6">
        <f t="shared" si="79"/>
        <v>2.1250000000000002E-2</v>
      </c>
      <c r="F142" s="5">
        <f>34.35</f>
        <v>34.35</v>
      </c>
      <c r="G142" s="5">
        <f>0</f>
        <v>0</v>
      </c>
      <c r="H142" s="5">
        <f t="shared" si="80"/>
        <v>34.35</v>
      </c>
      <c r="I142" s="6" t="str">
        <f t="shared" si="81"/>
        <v/>
      </c>
      <c r="J142" s="5">
        <f>34.34</f>
        <v>34.340000000000003</v>
      </c>
      <c r="K142" s="5">
        <f>0</f>
        <v>0</v>
      </c>
      <c r="L142" s="5">
        <f t="shared" si="82"/>
        <v>34.340000000000003</v>
      </c>
      <c r="M142" s="6" t="str">
        <f t="shared" si="83"/>
        <v/>
      </c>
      <c r="N142" s="5">
        <f>34.5</f>
        <v>34.5</v>
      </c>
      <c r="O142" s="5">
        <f>0</f>
        <v>0</v>
      </c>
      <c r="P142" s="5">
        <f t="shared" si="84"/>
        <v>34.5</v>
      </c>
      <c r="Q142" s="6" t="str">
        <f t="shared" si="85"/>
        <v/>
      </c>
      <c r="R142" s="5">
        <f>52.84</f>
        <v>52.84</v>
      </c>
      <c r="S142" s="5">
        <f>0</f>
        <v>0</v>
      </c>
      <c r="T142" s="5">
        <f t="shared" si="86"/>
        <v>52.84</v>
      </c>
      <c r="U142" s="6" t="str">
        <f t="shared" si="87"/>
        <v/>
      </c>
      <c r="V142" s="5">
        <f>34.1</f>
        <v>34.1</v>
      </c>
      <c r="W142" s="5">
        <f>0</f>
        <v>0</v>
      </c>
      <c r="X142" s="5">
        <f t="shared" si="88"/>
        <v>34.1</v>
      </c>
      <c r="Y142" s="6" t="str">
        <f t="shared" si="89"/>
        <v/>
      </c>
      <c r="Z142" s="5">
        <f>138.59</f>
        <v>138.59</v>
      </c>
      <c r="AA142" s="5">
        <f>0</f>
        <v>0</v>
      </c>
      <c r="AB142" s="5">
        <f t="shared" si="90"/>
        <v>138.59</v>
      </c>
      <c r="AC142" s="6" t="str">
        <f t="shared" si="91"/>
        <v/>
      </c>
      <c r="AD142" s="5">
        <f>504.31</f>
        <v>504.31</v>
      </c>
      <c r="AE142" s="5">
        <f>0</f>
        <v>0</v>
      </c>
      <c r="AF142" s="5">
        <f t="shared" si="92"/>
        <v>504.31</v>
      </c>
      <c r="AG142" s="6" t="str">
        <f t="shared" si="93"/>
        <v/>
      </c>
      <c r="AH142" s="5">
        <f>756.04</f>
        <v>756.04</v>
      </c>
      <c r="AI142" s="5">
        <f>0</f>
        <v>0</v>
      </c>
      <c r="AJ142" s="5">
        <f t="shared" si="94"/>
        <v>756.04</v>
      </c>
      <c r="AK142" s="6" t="str">
        <f t="shared" si="95"/>
        <v/>
      </c>
      <c r="AL142" s="5">
        <f>1075.33</f>
        <v>1075.33</v>
      </c>
      <c r="AM142" s="5">
        <f>0</f>
        <v>0</v>
      </c>
      <c r="AN142" s="5">
        <f t="shared" si="96"/>
        <v>1075.33</v>
      </c>
      <c r="AO142" s="6" t="str">
        <f t="shared" si="97"/>
        <v/>
      </c>
      <c r="AP142" s="5">
        <f>731.8</f>
        <v>731.8</v>
      </c>
      <c r="AQ142" s="5">
        <f>0</f>
        <v>0</v>
      </c>
      <c r="AR142" s="5">
        <f t="shared" si="98"/>
        <v>731.8</v>
      </c>
      <c r="AS142" s="6" t="str">
        <f t="shared" si="99"/>
        <v/>
      </c>
      <c r="AT142" s="5">
        <f t="shared" si="100"/>
        <v>3438.7</v>
      </c>
      <c r="AU142" s="5">
        <f t="shared" si="101"/>
        <v>2000</v>
      </c>
      <c r="AV142" s="5">
        <f t="shared" si="102"/>
        <v>1438.6999999999998</v>
      </c>
      <c r="AW142" s="6">
        <f t="shared" si="103"/>
        <v>1.7193499999999999</v>
      </c>
    </row>
    <row r="143" spans="1:49" x14ac:dyDescent="0.25">
      <c r="A143" s="3" t="s">
        <v>152</v>
      </c>
      <c r="B143" s="4"/>
      <c r="C143" s="5">
        <f>250</f>
        <v>250</v>
      </c>
      <c r="D143" s="5">
        <f t="shared" si="78"/>
        <v>-250</v>
      </c>
      <c r="E143" s="6">
        <f t="shared" si="79"/>
        <v>0</v>
      </c>
      <c r="F143" s="4"/>
      <c r="G143" s="5">
        <f>0</f>
        <v>0</v>
      </c>
      <c r="H143" s="5">
        <f t="shared" si="80"/>
        <v>0</v>
      </c>
      <c r="I143" s="6" t="str">
        <f t="shared" si="81"/>
        <v/>
      </c>
      <c r="J143" s="4"/>
      <c r="K143" s="5">
        <f>0</f>
        <v>0</v>
      </c>
      <c r="L143" s="5">
        <f t="shared" si="82"/>
        <v>0</v>
      </c>
      <c r="M143" s="6" t="str">
        <f t="shared" si="83"/>
        <v/>
      </c>
      <c r="N143" s="4"/>
      <c r="O143" s="5">
        <f>0</f>
        <v>0</v>
      </c>
      <c r="P143" s="5">
        <f t="shared" si="84"/>
        <v>0</v>
      </c>
      <c r="Q143" s="6" t="str">
        <f t="shared" si="85"/>
        <v/>
      </c>
      <c r="R143" s="4"/>
      <c r="S143" s="5">
        <f>0</f>
        <v>0</v>
      </c>
      <c r="T143" s="5">
        <f t="shared" si="86"/>
        <v>0</v>
      </c>
      <c r="U143" s="6" t="str">
        <f t="shared" si="87"/>
        <v/>
      </c>
      <c r="V143" s="5">
        <f>59.67</f>
        <v>59.67</v>
      </c>
      <c r="W143" s="5">
        <f>0</f>
        <v>0</v>
      </c>
      <c r="X143" s="5">
        <f t="shared" si="88"/>
        <v>59.67</v>
      </c>
      <c r="Y143" s="6" t="str">
        <f t="shared" si="89"/>
        <v/>
      </c>
      <c r="Z143" s="4"/>
      <c r="AA143" s="5">
        <f>0</f>
        <v>0</v>
      </c>
      <c r="AB143" s="5">
        <f t="shared" si="90"/>
        <v>0</v>
      </c>
      <c r="AC143" s="6" t="str">
        <f t="shared" si="91"/>
        <v/>
      </c>
      <c r="AD143" s="4"/>
      <c r="AE143" s="5">
        <f>0</f>
        <v>0</v>
      </c>
      <c r="AF143" s="5">
        <f t="shared" si="92"/>
        <v>0</v>
      </c>
      <c r="AG143" s="6" t="str">
        <f t="shared" si="93"/>
        <v/>
      </c>
      <c r="AH143" s="4"/>
      <c r="AI143" s="5">
        <f>0</f>
        <v>0</v>
      </c>
      <c r="AJ143" s="5">
        <f t="shared" si="94"/>
        <v>0</v>
      </c>
      <c r="AK143" s="6" t="str">
        <f t="shared" si="95"/>
        <v/>
      </c>
      <c r="AL143" s="4"/>
      <c r="AM143" s="5">
        <f>0</f>
        <v>0</v>
      </c>
      <c r="AN143" s="5">
        <f t="shared" si="96"/>
        <v>0</v>
      </c>
      <c r="AO143" s="6" t="str">
        <f t="shared" si="97"/>
        <v/>
      </c>
      <c r="AP143" s="4"/>
      <c r="AQ143" s="5">
        <f>0</f>
        <v>0</v>
      </c>
      <c r="AR143" s="5">
        <f t="shared" si="98"/>
        <v>0</v>
      </c>
      <c r="AS143" s="6" t="str">
        <f t="shared" si="99"/>
        <v/>
      </c>
      <c r="AT143" s="5">
        <f t="shared" si="100"/>
        <v>59.67</v>
      </c>
      <c r="AU143" s="5">
        <f t="shared" si="101"/>
        <v>250</v>
      </c>
      <c r="AV143" s="5">
        <f t="shared" si="102"/>
        <v>-190.32999999999998</v>
      </c>
      <c r="AW143" s="6">
        <f t="shared" si="103"/>
        <v>0.23868</v>
      </c>
    </row>
    <row r="144" spans="1:49" x14ac:dyDescent="0.25">
      <c r="A144" s="3" t="s">
        <v>153</v>
      </c>
      <c r="B144" s="5">
        <f>19177.29</f>
        <v>19177.29</v>
      </c>
      <c r="C144" s="5">
        <f>300258</f>
        <v>300258</v>
      </c>
      <c r="D144" s="5">
        <f t="shared" si="78"/>
        <v>-281080.71000000002</v>
      </c>
      <c r="E144" s="6">
        <f t="shared" si="79"/>
        <v>6.3869372339787789E-2</v>
      </c>
      <c r="F144" s="5">
        <f>19522.24</f>
        <v>19522.240000000002</v>
      </c>
      <c r="G144" s="5">
        <f>0</f>
        <v>0</v>
      </c>
      <c r="H144" s="5">
        <f t="shared" si="80"/>
        <v>19522.240000000002</v>
      </c>
      <c r="I144" s="6" t="str">
        <f t="shared" si="81"/>
        <v/>
      </c>
      <c r="J144" s="5">
        <f>19056.14</f>
        <v>19056.14</v>
      </c>
      <c r="K144" s="5">
        <f>0</f>
        <v>0</v>
      </c>
      <c r="L144" s="5">
        <f t="shared" si="82"/>
        <v>19056.14</v>
      </c>
      <c r="M144" s="6" t="str">
        <f t="shared" si="83"/>
        <v/>
      </c>
      <c r="N144" s="5">
        <f>18617.65</f>
        <v>18617.650000000001</v>
      </c>
      <c r="O144" s="5">
        <f>0</f>
        <v>0</v>
      </c>
      <c r="P144" s="5">
        <f t="shared" si="84"/>
        <v>18617.650000000001</v>
      </c>
      <c r="Q144" s="6" t="str">
        <f t="shared" si="85"/>
        <v/>
      </c>
      <c r="R144" s="5">
        <f>28467.4</f>
        <v>28467.4</v>
      </c>
      <c r="S144" s="5">
        <f>0</f>
        <v>0</v>
      </c>
      <c r="T144" s="5">
        <f t="shared" si="86"/>
        <v>28467.4</v>
      </c>
      <c r="U144" s="6" t="str">
        <f t="shared" si="87"/>
        <v/>
      </c>
      <c r="V144" s="5">
        <f>19155.96</f>
        <v>19155.96</v>
      </c>
      <c r="W144" s="5">
        <f>0</f>
        <v>0</v>
      </c>
      <c r="X144" s="5">
        <f t="shared" si="88"/>
        <v>19155.96</v>
      </c>
      <c r="Y144" s="6" t="str">
        <f t="shared" si="89"/>
        <v/>
      </c>
      <c r="Z144" s="5">
        <f>16856.22</f>
        <v>16856.22</v>
      </c>
      <c r="AA144" s="5">
        <f>0</f>
        <v>0</v>
      </c>
      <c r="AB144" s="5">
        <f t="shared" si="90"/>
        <v>16856.22</v>
      </c>
      <c r="AC144" s="6" t="str">
        <f t="shared" si="91"/>
        <v/>
      </c>
      <c r="AD144" s="5">
        <f>15285.54</f>
        <v>15285.54</v>
      </c>
      <c r="AE144" s="5">
        <f>0</f>
        <v>0</v>
      </c>
      <c r="AF144" s="5">
        <f t="shared" si="92"/>
        <v>15285.54</v>
      </c>
      <c r="AG144" s="6" t="str">
        <f t="shared" si="93"/>
        <v/>
      </c>
      <c r="AH144" s="5">
        <f>14774.3</f>
        <v>14774.3</v>
      </c>
      <c r="AI144" s="5">
        <f>0</f>
        <v>0</v>
      </c>
      <c r="AJ144" s="5">
        <f t="shared" si="94"/>
        <v>14774.3</v>
      </c>
      <c r="AK144" s="6" t="str">
        <f t="shared" si="95"/>
        <v/>
      </c>
      <c r="AL144" s="5">
        <f>23061.02</f>
        <v>23061.02</v>
      </c>
      <c r="AM144" s="5">
        <f>0</f>
        <v>0</v>
      </c>
      <c r="AN144" s="5">
        <f t="shared" si="96"/>
        <v>23061.02</v>
      </c>
      <c r="AO144" s="6" t="str">
        <f t="shared" si="97"/>
        <v/>
      </c>
      <c r="AP144" s="5">
        <f>15129.51</f>
        <v>15129.51</v>
      </c>
      <c r="AQ144" s="5">
        <f>0</f>
        <v>0</v>
      </c>
      <c r="AR144" s="5">
        <f t="shared" si="98"/>
        <v>15129.51</v>
      </c>
      <c r="AS144" s="6" t="str">
        <f t="shared" si="99"/>
        <v/>
      </c>
      <c r="AT144" s="5">
        <f t="shared" si="100"/>
        <v>209103.27</v>
      </c>
      <c r="AU144" s="5">
        <f t="shared" si="101"/>
        <v>300258</v>
      </c>
      <c r="AV144" s="5">
        <f t="shared" si="102"/>
        <v>-91154.73000000001</v>
      </c>
      <c r="AW144" s="6">
        <f t="shared" si="103"/>
        <v>0.69641198569230456</v>
      </c>
    </row>
    <row r="145" spans="1:49" x14ac:dyDescent="0.25">
      <c r="A145" s="3" t="s">
        <v>154</v>
      </c>
      <c r="B145" s="7">
        <f>(((((B139)+(B140))+(B141))+(B142))+(B143))+(B144)</f>
        <v>21643.34</v>
      </c>
      <c r="C145" s="7">
        <f>(((((C139)+(C140))+(C141))+(C142))+(C143))+(C144)</f>
        <v>347745</v>
      </c>
      <c r="D145" s="7">
        <f t="shared" si="78"/>
        <v>-326101.65999999997</v>
      </c>
      <c r="E145" s="8">
        <f t="shared" si="79"/>
        <v>6.2239111992983362E-2</v>
      </c>
      <c r="F145" s="7">
        <f>(((((F139)+(F140))+(F141))+(F142))+(F143))+(F144)</f>
        <v>22007.22</v>
      </c>
      <c r="G145" s="7">
        <f>(((((G139)+(G140))+(G141))+(G142))+(G143))+(G144)</f>
        <v>0</v>
      </c>
      <c r="H145" s="7">
        <f t="shared" si="80"/>
        <v>22007.22</v>
      </c>
      <c r="I145" s="8" t="str">
        <f t="shared" si="81"/>
        <v/>
      </c>
      <c r="J145" s="7">
        <f>(((((J139)+(J140))+(J141))+(J142))+(J143))+(J144)</f>
        <v>21504.51</v>
      </c>
      <c r="K145" s="7">
        <f>(((((K139)+(K140))+(K141))+(K142))+(K143))+(K144)</f>
        <v>0</v>
      </c>
      <c r="L145" s="7">
        <f t="shared" si="82"/>
        <v>21504.51</v>
      </c>
      <c r="M145" s="8" t="str">
        <f t="shared" si="83"/>
        <v/>
      </c>
      <c r="N145" s="7">
        <f>(((((N139)+(N140))+(N141))+(N142))+(N143))+(N144)</f>
        <v>21031.75</v>
      </c>
      <c r="O145" s="7">
        <f>(((((O139)+(O140))+(O141))+(O142))+(O143))+(O144)</f>
        <v>0</v>
      </c>
      <c r="P145" s="7">
        <f t="shared" si="84"/>
        <v>21031.75</v>
      </c>
      <c r="Q145" s="8" t="str">
        <f t="shared" si="85"/>
        <v/>
      </c>
      <c r="R145" s="7">
        <f>(((((R139)+(R140))+(R141))+(R142))+(R143))+(R144)</f>
        <v>31673.08</v>
      </c>
      <c r="S145" s="7">
        <f>(((((S139)+(S140))+(S141))+(S142))+(S143))+(S144)</f>
        <v>0</v>
      </c>
      <c r="T145" s="7">
        <f t="shared" si="86"/>
        <v>31673.08</v>
      </c>
      <c r="U145" s="8" t="str">
        <f t="shared" si="87"/>
        <v/>
      </c>
      <c r="V145" s="7">
        <f>(((((V139)+(V140))+(V141))+(V142))+(V143))+(V144)</f>
        <v>20753.87</v>
      </c>
      <c r="W145" s="7">
        <f>(((((W139)+(W140))+(W141))+(W142))+(W143))+(W144)</f>
        <v>0</v>
      </c>
      <c r="X145" s="7">
        <f t="shared" si="88"/>
        <v>20753.87</v>
      </c>
      <c r="Y145" s="8" t="str">
        <f t="shared" si="89"/>
        <v/>
      </c>
      <c r="Z145" s="7">
        <f>(((((Z139)+(Z140))+(Z141))+(Z142))+(Z143))+(Z144)</f>
        <v>18312.5</v>
      </c>
      <c r="AA145" s="7">
        <f>(((((AA139)+(AA140))+(AA141))+(AA142))+(AA143))+(AA144)</f>
        <v>0</v>
      </c>
      <c r="AB145" s="7">
        <f t="shared" si="90"/>
        <v>18312.5</v>
      </c>
      <c r="AC145" s="8" t="str">
        <f t="shared" si="91"/>
        <v/>
      </c>
      <c r="AD145" s="7">
        <f>(((((AD139)+(AD140))+(AD141))+(AD142))+(AD143))+(AD144)</f>
        <v>16981.84</v>
      </c>
      <c r="AE145" s="7">
        <f>(((((AE139)+(AE140))+(AE141))+(AE142))+(AE143))+(AE144)</f>
        <v>0</v>
      </c>
      <c r="AF145" s="7">
        <f t="shared" si="92"/>
        <v>16981.84</v>
      </c>
      <c r="AG145" s="8" t="str">
        <f t="shared" si="93"/>
        <v/>
      </c>
      <c r="AH145" s="7">
        <f>(((((AH139)+(AH140))+(AH141))+(AH142))+(AH143))+(AH144)</f>
        <v>16680.009999999998</v>
      </c>
      <c r="AI145" s="7">
        <f>(((((AI139)+(AI140))+(AI141))+(AI142))+(AI143))+(AI144)</f>
        <v>0</v>
      </c>
      <c r="AJ145" s="7">
        <f t="shared" si="94"/>
        <v>16680.009999999998</v>
      </c>
      <c r="AK145" s="8" t="str">
        <f t="shared" si="95"/>
        <v/>
      </c>
      <c r="AL145" s="7">
        <f>(((((AL139)+(AL140))+(AL141))+(AL142))+(AL143))+(AL144)</f>
        <v>25924.73</v>
      </c>
      <c r="AM145" s="7">
        <f>(((((AM139)+(AM140))+(AM141))+(AM142))+(AM143))+(AM144)</f>
        <v>0</v>
      </c>
      <c r="AN145" s="7">
        <f t="shared" si="96"/>
        <v>25924.73</v>
      </c>
      <c r="AO145" s="8" t="str">
        <f t="shared" si="97"/>
        <v/>
      </c>
      <c r="AP145" s="7">
        <f>(((((AP139)+(AP140))+(AP141))+(AP142))+(AP143))+(AP144)</f>
        <v>17032.95</v>
      </c>
      <c r="AQ145" s="7">
        <f>(((((AQ139)+(AQ140))+(AQ141))+(AQ142))+(AQ143))+(AQ144)</f>
        <v>0</v>
      </c>
      <c r="AR145" s="7">
        <f t="shared" si="98"/>
        <v>17032.95</v>
      </c>
      <c r="AS145" s="8" t="str">
        <f t="shared" si="99"/>
        <v/>
      </c>
      <c r="AT145" s="7">
        <f t="shared" si="100"/>
        <v>233545.80000000002</v>
      </c>
      <c r="AU145" s="7">
        <f t="shared" si="101"/>
        <v>347745</v>
      </c>
      <c r="AV145" s="7">
        <f t="shared" si="102"/>
        <v>-114199.19999999998</v>
      </c>
      <c r="AW145" s="8">
        <f t="shared" si="103"/>
        <v>0.67160074192296082</v>
      </c>
    </row>
    <row r="146" spans="1:49" x14ac:dyDescent="0.25">
      <c r="A146" s="3" t="s">
        <v>155</v>
      </c>
      <c r="B146" s="5">
        <f>1543</f>
        <v>1543</v>
      </c>
      <c r="C146" s="5">
        <f>1000</f>
        <v>1000</v>
      </c>
      <c r="D146" s="5">
        <f t="shared" si="78"/>
        <v>543</v>
      </c>
      <c r="E146" s="6">
        <f t="shared" si="79"/>
        <v>1.5429999999999999</v>
      </c>
      <c r="F146" s="5">
        <f>-333</f>
        <v>-333</v>
      </c>
      <c r="G146" s="5">
        <f>0</f>
        <v>0</v>
      </c>
      <c r="H146" s="5">
        <f t="shared" si="80"/>
        <v>-333</v>
      </c>
      <c r="I146" s="6" t="str">
        <f t="shared" si="81"/>
        <v/>
      </c>
      <c r="J146" s="4"/>
      <c r="K146" s="5">
        <f>0</f>
        <v>0</v>
      </c>
      <c r="L146" s="5">
        <f t="shared" si="82"/>
        <v>0</v>
      </c>
      <c r="M146" s="6" t="str">
        <f t="shared" si="83"/>
        <v/>
      </c>
      <c r="N146" s="4"/>
      <c r="O146" s="5">
        <f>0</f>
        <v>0</v>
      </c>
      <c r="P146" s="5">
        <f t="shared" si="84"/>
        <v>0</v>
      </c>
      <c r="Q146" s="6" t="str">
        <f t="shared" si="85"/>
        <v/>
      </c>
      <c r="R146" s="4"/>
      <c r="S146" s="5">
        <f>0</f>
        <v>0</v>
      </c>
      <c r="T146" s="5">
        <f t="shared" si="86"/>
        <v>0</v>
      </c>
      <c r="U146" s="6" t="str">
        <f t="shared" si="87"/>
        <v/>
      </c>
      <c r="V146" s="4"/>
      <c r="W146" s="5">
        <f>0</f>
        <v>0</v>
      </c>
      <c r="X146" s="5">
        <f t="shared" si="88"/>
        <v>0</v>
      </c>
      <c r="Y146" s="6" t="str">
        <f t="shared" si="89"/>
        <v/>
      </c>
      <c r="Z146" s="4"/>
      <c r="AA146" s="5">
        <f>0</f>
        <v>0</v>
      </c>
      <c r="AB146" s="5">
        <f t="shared" si="90"/>
        <v>0</v>
      </c>
      <c r="AC146" s="6" t="str">
        <f t="shared" si="91"/>
        <v/>
      </c>
      <c r="AD146" s="4"/>
      <c r="AE146" s="5">
        <f>0</f>
        <v>0</v>
      </c>
      <c r="AF146" s="5">
        <f t="shared" si="92"/>
        <v>0</v>
      </c>
      <c r="AG146" s="6" t="str">
        <f t="shared" si="93"/>
        <v/>
      </c>
      <c r="AH146" s="4"/>
      <c r="AI146" s="5">
        <f>0</f>
        <v>0</v>
      </c>
      <c r="AJ146" s="5">
        <f t="shared" si="94"/>
        <v>0</v>
      </c>
      <c r="AK146" s="6" t="str">
        <f t="shared" si="95"/>
        <v/>
      </c>
      <c r="AL146" s="4"/>
      <c r="AM146" s="5">
        <f>0</f>
        <v>0</v>
      </c>
      <c r="AN146" s="5">
        <f t="shared" si="96"/>
        <v>0</v>
      </c>
      <c r="AO146" s="6" t="str">
        <f t="shared" si="97"/>
        <v/>
      </c>
      <c r="AP146" s="5">
        <f>1440</f>
        <v>1440</v>
      </c>
      <c r="AQ146" s="5">
        <f>0</f>
        <v>0</v>
      </c>
      <c r="AR146" s="5">
        <f t="shared" si="98"/>
        <v>1440</v>
      </c>
      <c r="AS146" s="6" t="str">
        <f t="shared" si="99"/>
        <v/>
      </c>
      <c r="AT146" s="5">
        <f t="shared" si="100"/>
        <v>2650</v>
      </c>
      <c r="AU146" s="5">
        <f t="shared" si="101"/>
        <v>1000</v>
      </c>
      <c r="AV146" s="5">
        <f t="shared" si="102"/>
        <v>1650</v>
      </c>
      <c r="AW146" s="6">
        <f t="shared" si="103"/>
        <v>2.65</v>
      </c>
    </row>
    <row r="147" spans="1:49" x14ac:dyDescent="0.25">
      <c r="A147" s="3" t="s">
        <v>156</v>
      </c>
      <c r="B147" s="7">
        <f>((((B131)+(B134))+(B138))+(B145))+(B146)</f>
        <v>23186.34</v>
      </c>
      <c r="C147" s="7">
        <f>((((C131)+(C134))+(C138))+(C145))+(C146)</f>
        <v>351745</v>
      </c>
      <c r="D147" s="7">
        <f t="shared" si="78"/>
        <v>-328558.65999999997</v>
      </c>
      <c r="E147" s="8">
        <f t="shared" si="79"/>
        <v>6.5918037214459338E-2</v>
      </c>
      <c r="F147" s="7">
        <f>((((F131)+(F134))+(F138))+(F145))+(F146)</f>
        <v>21897.670000000002</v>
      </c>
      <c r="G147" s="7">
        <f>((((G131)+(G134))+(G138))+(G145))+(G146)</f>
        <v>0</v>
      </c>
      <c r="H147" s="7">
        <f t="shared" si="80"/>
        <v>21897.670000000002</v>
      </c>
      <c r="I147" s="8" t="str">
        <f t="shared" si="81"/>
        <v/>
      </c>
      <c r="J147" s="7">
        <f>((((J131)+(J134))+(J138))+(J145))+(J146)</f>
        <v>22717.719999999998</v>
      </c>
      <c r="K147" s="7">
        <f>((((K131)+(K134))+(K138))+(K145))+(K146)</f>
        <v>0</v>
      </c>
      <c r="L147" s="7">
        <f t="shared" si="82"/>
        <v>22717.719999999998</v>
      </c>
      <c r="M147" s="8" t="str">
        <f t="shared" si="83"/>
        <v/>
      </c>
      <c r="N147" s="7">
        <f>((((N131)+(N134))+(N138))+(N145))+(N146)</f>
        <v>21805.75</v>
      </c>
      <c r="O147" s="7">
        <f>((((O131)+(O134))+(O138))+(O145))+(O146)</f>
        <v>0</v>
      </c>
      <c r="P147" s="7">
        <f t="shared" si="84"/>
        <v>21805.75</v>
      </c>
      <c r="Q147" s="8" t="str">
        <f t="shared" si="85"/>
        <v/>
      </c>
      <c r="R147" s="7">
        <f>((((R131)+(R134))+(R138))+(R145))+(R146)</f>
        <v>31673.08</v>
      </c>
      <c r="S147" s="7">
        <f>((((S131)+(S134))+(S138))+(S145))+(S146)</f>
        <v>0</v>
      </c>
      <c r="T147" s="7">
        <f t="shared" si="86"/>
        <v>31673.08</v>
      </c>
      <c r="U147" s="8" t="str">
        <f t="shared" si="87"/>
        <v/>
      </c>
      <c r="V147" s="7">
        <f>((((V131)+(V134))+(V138))+(V145))+(V146)</f>
        <v>21257.45</v>
      </c>
      <c r="W147" s="7">
        <f>((((W131)+(W134))+(W138))+(W145))+(W146)</f>
        <v>0</v>
      </c>
      <c r="X147" s="7">
        <f t="shared" si="88"/>
        <v>21257.45</v>
      </c>
      <c r="Y147" s="8" t="str">
        <f t="shared" si="89"/>
        <v/>
      </c>
      <c r="Z147" s="7">
        <f>((((Z131)+(Z134))+(Z138))+(Z145))+(Z146)</f>
        <v>18312.5</v>
      </c>
      <c r="AA147" s="7">
        <f>((((AA131)+(AA134))+(AA138))+(AA145))+(AA146)</f>
        <v>0</v>
      </c>
      <c r="AB147" s="7">
        <f t="shared" si="90"/>
        <v>18312.5</v>
      </c>
      <c r="AC147" s="8" t="str">
        <f t="shared" si="91"/>
        <v/>
      </c>
      <c r="AD147" s="7">
        <f>((((AD131)+(AD134))+(AD138))+(AD145))+(AD146)</f>
        <v>17108</v>
      </c>
      <c r="AE147" s="7">
        <f>((((AE131)+(AE134))+(AE138))+(AE145))+(AE146)</f>
        <v>0</v>
      </c>
      <c r="AF147" s="7">
        <f t="shared" si="92"/>
        <v>17108</v>
      </c>
      <c r="AG147" s="8" t="str">
        <f t="shared" si="93"/>
        <v/>
      </c>
      <c r="AH147" s="7">
        <f>((((AH131)+(AH134))+(AH138))+(AH145))+(AH146)</f>
        <v>17226.89</v>
      </c>
      <c r="AI147" s="7">
        <f>((((AI131)+(AI134))+(AI138))+(AI145))+(AI146)</f>
        <v>0</v>
      </c>
      <c r="AJ147" s="7">
        <f t="shared" si="94"/>
        <v>17226.89</v>
      </c>
      <c r="AK147" s="8" t="str">
        <f t="shared" si="95"/>
        <v/>
      </c>
      <c r="AL147" s="7">
        <f>((((AL131)+(AL134))+(AL138))+(AL145))+(AL146)</f>
        <v>26039.73</v>
      </c>
      <c r="AM147" s="7">
        <f>((((AM131)+(AM134))+(AM138))+(AM145))+(AM146)</f>
        <v>0</v>
      </c>
      <c r="AN147" s="7">
        <f t="shared" si="96"/>
        <v>26039.73</v>
      </c>
      <c r="AO147" s="8" t="str">
        <f t="shared" si="97"/>
        <v/>
      </c>
      <c r="AP147" s="7">
        <f>((((AP131)+(AP134))+(AP138))+(AP145))+(AP146)</f>
        <v>19610.93</v>
      </c>
      <c r="AQ147" s="7">
        <f>((((AQ131)+(AQ134))+(AQ138))+(AQ145))+(AQ146)</f>
        <v>0</v>
      </c>
      <c r="AR147" s="7">
        <f t="shared" si="98"/>
        <v>19610.93</v>
      </c>
      <c r="AS147" s="8" t="str">
        <f t="shared" si="99"/>
        <v/>
      </c>
      <c r="AT147" s="7">
        <f t="shared" si="100"/>
        <v>240836.06000000003</v>
      </c>
      <c r="AU147" s="7">
        <f t="shared" si="101"/>
        <v>351745</v>
      </c>
      <c r="AV147" s="7">
        <f t="shared" si="102"/>
        <v>-110908.93999999997</v>
      </c>
      <c r="AW147" s="8">
        <f t="shared" si="103"/>
        <v>0.68468936303287897</v>
      </c>
    </row>
    <row r="148" spans="1:49" x14ac:dyDescent="0.25">
      <c r="A148" s="3" t="s">
        <v>157</v>
      </c>
      <c r="B148" s="5">
        <f>100</f>
        <v>100</v>
      </c>
      <c r="C148" s="4"/>
      <c r="D148" s="5">
        <f t="shared" si="78"/>
        <v>100</v>
      </c>
      <c r="E148" s="6" t="str">
        <f t="shared" si="79"/>
        <v/>
      </c>
      <c r="F148" s="4"/>
      <c r="G148" s="4"/>
      <c r="H148" s="5">
        <f t="shared" si="80"/>
        <v>0</v>
      </c>
      <c r="I148" s="6" t="str">
        <f t="shared" si="81"/>
        <v/>
      </c>
      <c r="J148" s="5">
        <f>100</f>
        <v>100</v>
      </c>
      <c r="K148" s="4"/>
      <c r="L148" s="5">
        <f t="shared" si="82"/>
        <v>100</v>
      </c>
      <c r="M148" s="6" t="str">
        <f t="shared" si="83"/>
        <v/>
      </c>
      <c r="N148" s="4"/>
      <c r="O148" s="4"/>
      <c r="P148" s="5">
        <f t="shared" si="84"/>
        <v>0</v>
      </c>
      <c r="Q148" s="6" t="str">
        <f t="shared" si="85"/>
        <v/>
      </c>
      <c r="R148" s="5">
        <f>100</f>
        <v>100</v>
      </c>
      <c r="S148" s="4"/>
      <c r="T148" s="5">
        <f t="shared" si="86"/>
        <v>100</v>
      </c>
      <c r="U148" s="6" t="str">
        <f t="shared" si="87"/>
        <v/>
      </c>
      <c r="V148" s="4"/>
      <c r="W148" s="4"/>
      <c r="X148" s="5">
        <f t="shared" si="88"/>
        <v>0</v>
      </c>
      <c r="Y148" s="6" t="str">
        <f t="shared" si="89"/>
        <v/>
      </c>
      <c r="Z148" s="5">
        <f>100</f>
        <v>100</v>
      </c>
      <c r="AA148" s="4"/>
      <c r="AB148" s="5">
        <f t="shared" si="90"/>
        <v>100</v>
      </c>
      <c r="AC148" s="6" t="str">
        <f t="shared" si="91"/>
        <v/>
      </c>
      <c r="AD148" s="4"/>
      <c r="AE148" s="4"/>
      <c r="AF148" s="5">
        <f t="shared" si="92"/>
        <v>0</v>
      </c>
      <c r="AG148" s="6" t="str">
        <f t="shared" si="93"/>
        <v/>
      </c>
      <c r="AH148" s="4"/>
      <c r="AI148" s="4"/>
      <c r="AJ148" s="5">
        <f t="shared" si="94"/>
        <v>0</v>
      </c>
      <c r="AK148" s="6" t="str">
        <f t="shared" si="95"/>
        <v/>
      </c>
      <c r="AL148" s="5">
        <f>300</f>
        <v>300</v>
      </c>
      <c r="AM148" s="4"/>
      <c r="AN148" s="5">
        <f t="shared" si="96"/>
        <v>300</v>
      </c>
      <c r="AO148" s="6" t="str">
        <f t="shared" si="97"/>
        <v/>
      </c>
      <c r="AP148" s="5">
        <f>200</f>
        <v>200</v>
      </c>
      <c r="AQ148" s="4"/>
      <c r="AR148" s="5">
        <f t="shared" si="98"/>
        <v>200</v>
      </c>
      <c r="AS148" s="6" t="str">
        <f t="shared" si="99"/>
        <v/>
      </c>
      <c r="AT148" s="5">
        <f t="shared" si="100"/>
        <v>900</v>
      </c>
      <c r="AU148" s="5">
        <f t="shared" si="101"/>
        <v>0</v>
      </c>
      <c r="AV148" s="5">
        <f t="shared" si="102"/>
        <v>900</v>
      </c>
      <c r="AW148" s="6" t="str">
        <f t="shared" si="103"/>
        <v/>
      </c>
    </row>
    <row r="149" spans="1:49" x14ac:dyDescent="0.25">
      <c r="A149" s="3" t="s">
        <v>158</v>
      </c>
      <c r="B149" s="5">
        <f>90.56</f>
        <v>90.56</v>
      </c>
      <c r="C149" s="5">
        <f>13425</f>
        <v>13425</v>
      </c>
      <c r="D149" s="5">
        <f t="shared" si="78"/>
        <v>-13334.44</v>
      </c>
      <c r="E149" s="6">
        <f t="shared" si="79"/>
        <v>6.7456238361266298E-3</v>
      </c>
      <c r="F149" s="5">
        <f>1866.34</f>
        <v>1866.34</v>
      </c>
      <c r="G149" s="5">
        <f>0</f>
        <v>0</v>
      </c>
      <c r="H149" s="5">
        <f t="shared" si="80"/>
        <v>1866.34</v>
      </c>
      <c r="I149" s="6" t="str">
        <f t="shared" si="81"/>
        <v/>
      </c>
      <c r="J149" s="5">
        <f>3005.07</f>
        <v>3005.07</v>
      </c>
      <c r="K149" s="5">
        <f>0</f>
        <v>0</v>
      </c>
      <c r="L149" s="5">
        <f t="shared" si="82"/>
        <v>3005.07</v>
      </c>
      <c r="M149" s="6" t="str">
        <f t="shared" si="83"/>
        <v/>
      </c>
      <c r="N149" s="4"/>
      <c r="O149" s="5">
        <f>0</f>
        <v>0</v>
      </c>
      <c r="P149" s="5">
        <f t="shared" si="84"/>
        <v>0</v>
      </c>
      <c r="Q149" s="6" t="str">
        <f t="shared" si="85"/>
        <v/>
      </c>
      <c r="R149" s="5">
        <f>1995.41</f>
        <v>1995.41</v>
      </c>
      <c r="S149" s="5">
        <f>0</f>
        <v>0</v>
      </c>
      <c r="T149" s="5">
        <f t="shared" si="86"/>
        <v>1995.41</v>
      </c>
      <c r="U149" s="6" t="str">
        <f t="shared" si="87"/>
        <v/>
      </c>
      <c r="V149" s="5">
        <f>1616.89</f>
        <v>1616.89</v>
      </c>
      <c r="W149" s="5">
        <f>0</f>
        <v>0</v>
      </c>
      <c r="X149" s="5">
        <f t="shared" si="88"/>
        <v>1616.89</v>
      </c>
      <c r="Y149" s="6" t="str">
        <f t="shared" si="89"/>
        <v/>
      </c>
      <c r="Z149" s="5">
        <f>2975.7</f>
        <v>2975.7</v>
      </c>
      <c r="AA149" s="5">
        <f>0</f>
        <v>0</v>
      </c>
      <c r="AB149" s="5">
        <f t="shared" si="90"/>
        <v>2975.7</v>
      </c>
      <c r="AC149" s="6" t="str">
        <f t="shared" si="91"/>
        <v/>
      </c>
      <c r="AD149" s="5">
        <f>206.39</f>
        <v>206.39</v>
      </c>
      <c r="AE149" s="5">
        <f>0</f>
        <v>0</v>
      </c>
      <c r="AF149" s="5">
        <f t="shared" si="92"/>
        <v>206.39</v>
      </c>
      <c r="AG149" s="6" t="str">
        <f t="shared" si="93"/>
        <v/>
      </c>
      <c r="AH149" s="5">
        <f>106.75</f>
        <v>106.75</v>
      </c>
      <c r="AI149" s="5">
        <f>0</f>
        <v>0</v>
      </c>
      <c r="AJ149" s="5">
        <f t="shared" si="94"/>
        <v>106.75</v>
      </c>
      <c r="AK149" s="6" t="str">
        <f t="shared" si="95"/>
        <v/>
      </c>
      <c r="AL149" s="5">
        <f>110.3</f>
        <v>110.3</v>
      </c>
      <c r="AM149" s="5">
        <f>0</f>
        <v>0</v>
      </c>
      <c r="AN149" s="5">
        <f t="shared" si="96"/>
        <v>110.3</v>
      </c>
      <c r="AO149" s="6" t="str">
        <f t="shared" si="97"/>
        <v/>
      </c>
      <c r="AP149" s="5">
        <f>75.24</f>
        <v>75.239999999999995</v>
      </c>
      <c r="AQ149" s="5">
        <f>0</f>
        <v>0</v>
      </c>
      <c r="AR149" s="5">
        <f t="shared" si="98"/>
        <v>75.239999999999995</v>
      </c>
      <c r="AS149" s="6" t="str">
        <f t="shared" si="99"/>
        <v/>
      </c>
      <c r="AT149" s="5">
        <f t="shared" si="100"/>
        <v>12048.65</v>
      </c>
      <c r="AU149" s="5">
        <f t="shared" si="101"/>
        <v>13425</v>
      </c>
      <c r="AV149" s="5">
        <f t="shared" si="102"/>
        <v>-1376.3500000000004</v>
      </c>
      <c r="AW149" s="6">
        <f t="shared" si="103"/>
        <v>0.89747858472998132</v>
      </c>
    </row>
    <row r="150" spans="1:49" x14ac:dyDescent="0.25">
      <c r="A150" s="3" t="s">
        <v>159</v>
      </c>
      <c r="B150" s="7">
        <f>(((((B85)+(B107))+(B130))+(B147))+(B148))+(B149)</f>
        <v>50626.25</v>
      </c>
      <c r="C150" s="7">
        <f>(((((C85)+(C107))+(C130))+(C147))+(C148))+(C149)</f>
        <v>493170</v>
      </c>
      <c r="D150" s="7">
        <f t="shared" si="78"/>
        <v>-442543.75</v>
      </c>
      <c r="E150" s="8">
        <f t="shared" si="79"/>
        <v>0.10265476407729586</v>
      </c>
      <c r="F150" s="7">
        <f>(((((F85)+(F107))+(F130))+(F147))+(F148))+(F149)</f>
        <v>33931.81</v>
      </c>
      <c r="G150" s="7">
        <f>(((((G85)+(G107))+(G130))+(G147))+(G148))+(G149)</f>
        <v>0</v>
      </c>
      <c r="H150" s="7">
        <f t="shared" si="80"/>
        <v>33931.81</v>
      </c>
      <c r="I150" s="8" t="str">
        <f t="shared" si="81"/>
        <v/>
      </c>
      <c r="J150" s="7">
        <f>(((((J85)+(J107))+(J130))+(J147))+(J148))+(J149)</f>
        <v>34771.15</v>
      </c>
      <c r="K150" s="7">
        <f>(((((K85)+(K107))+(K130))+(K147))+(K148))+(K149)</f>
        <v>0</v>
      </c>
      <c r="L150" s="7">
        <f t="shared" si="82"/>
        <v>34771.15</v>
      </c>
      <c r="M150" s="8" t="str">
        <f t="shared" si="83"/>
        <v/>
      </c>
      <c r="N150" s="7">
        <f>(((((N85)+(N107))+(N130))+(N147))+(N148))+(N149)</f>
        <v>28964.170000000002</v>
      </c>
      <c r="O150" s="7">
        <f>(((((O85)+(O107))+(O130))+(O147))+(O148))+(O149)</f>
        <v>0</v>
      </c>
      <c r="P150" s="7">
        <f t="shared" si="84"/>
        <v>28964.170000000002</v>
      </c>
      <c r="Q150" s="8" t="str">
        <f t="shared" si="85"/>
        <v/>
      </c>
      <c r="R150" s="7">
        <f>(((((R85)+(R107))+(R130))+(R147))+(R148))+(R149)</f>
        <v>42786.720000000001</v>
      </c>
      <c r="S150" s="7">
        <f>(((((S85)+(S107))+(S130))+(S147))+(S148))+(S149)</f>
        <v>0</v>
      </c>
      <c r="T150" s="7">
        <f t="shared" si="86"/>
        <v>42786.720000000001</v>
      </c>
      <c r="U150" s="8" t="str">
        <f t="shared" si="87"/>
        <v/>
      </c>
      <c r="V150" s="7">
        <f>(((((V85)+(V107))+(V130))+(V147))+(V148))+(V149)</f>
        <v>29492.16</v>
      </c>
      <c r="W150" s="7">
        <f>(((((W85)+(W107))+(W130))+(W147))+(W148))+(W149)</f>
        <v>0</v>
      </c>
      <c r="X150" s="7">
        <f t="shared" si="88"/>
        <v>29492.16</v>
      </c>
      <c r="Y150" s="8" t="str">
        <f t="shared" si="89"/>
        <v/>
      </c>
      <c r="Z150" s="7">
        <f>(((((Z85)+(Z107))+(Z130))+(Z147))+(Z148))+(Z149)</f>
        <v>29541.56</v>
      </c>
      <c r="AA150" s="7">
        <f>(((((AA85)+(AA107))+(AA130))+(AA147))+(AA148))+(AA149)</f>
        <v>0</v>
      </c>
      <c r="AB150" s="7">
        <f t="shared" si="90"/>
        <v>29541.56</v>
      </c>
      <c r="AC150" s="8" t="str">
        <f t="shared" si="91"/>
        <v/>
      </c>
      <c r="AD150" s="7">
        <f>(((((AD85)+(AD107))+(AD130))+(AD147))+(AD148))+(AD149)</f>
        <v>27554.05</v>
      </c>
      <c r="AE150" s="7">
        <f>(((((AE85)+(AE107))+(AE130))+(AE147))+(AE148))+(AE149)</f>
        <v>0</v>
      </c>
      <c r="AF150" s="7">
        <f t="shared" si="92"/>
        <v>27554.05</v>
      </c>
      <c r="AG150" s="8" t="str">
        <f t="shared" si="93"/>
        <v/>
      </c>
      <c r="AH150" s="7">
        <f>(((((AH85)+(AH107))+(AH130))+(AH147))+(AH148))+(AH149)</f>
        <v>30248.16</v>
      </c>
      <c r="AI150" s="7">
        <f>(((((AI85)+(AI107))+(AI130))+(AI147))+(AI148))+(AI149)</f>
        <v>0</v>
      </c>
      <c r="AJ150" s="7">
        <f t="shared" si="94"/>
        <v>30248.16</v>
      </c>
      <c r="AK150" s="8" t="str">
        <f t="shared" si="95"/>
        <v/>
      </c>
      <c r="AL150" s="7">
        <f>(((((AL85)+(AL107))+(AL130))+(AL147))+(AL148))+(AL149)</f>
        <v>48706.770000000004</v>
      </c>
      <c r="AM150" s="7">
        <f>(((((AM85)+(AM107))+(AM130))+(AM147))+(AM148))+(AM149)</f>
        <v>0</v>
      </c>
      <c r="AN150" s="7">
        <f t="shared" si="96"/>
        <v>48706.770000000004</v>
      </c>
      <c r="AO150" s="8" t="str">
        <f t="shared" si="97"/>
        <v/>
      </c>
      <c r="AP150" s="7">
        <f>(((((AP85)+(AP107))+(AP130))+(AP147))+(AP148))+(AP149)</f>
        <v>25986.500000000004</v>
      </c>
      <c r="AQ150" s="7">
        <f>(((((AQ85)+(AQ107))+(AQ130))+(AQ147))+(AQ148))+(AQ149)</f>
        <v>0</v>
      </c>
      <c r="AR150" s="7">
        <f t="shared" si="98"/>
        <v>25986.500000000004</v>
      </c>
      <c r="AS150" s="8" t="str">
        <f t="shared" si="99"/>
        <v/>
      </c>
      <c r="AT150" s="7">
        <f t="shared" si="100"/>
        <v>382609.3</v>
      </c>
      <c r="AU150" s="7">
        <f t="shared" si="101"/>
        <v>493170</v>
      </c>
      <c r="AV150" s="7">
        <f t="shared" si="102"/>
        <v>-110560.70000000001</v>
      </c>
      <c r="AW150" s="8">
        <f t="shared" si="103"/>
        <v>0.7758162499746537</v>
      </c>
    </row>
    <row r="151" spans="1:49" x14ac:dyDescent="0.25">
      <c r="A151" s="3" t="s">
        <v>160</v>
      </c>
      <c r="B151" s="7">
        <f>(B54)-(B150)</f>
        <v>-37260.43</v>
      </c>
      <c r="C151" s="7">
        <f>(C54)-(C150)</f>
        <v>178828</v>
      </c>
      <c r="D151" s="7">
        <f t="shared" si="78"/>
        <v>-216088.43</v>
      </c>
      <c r="E151" s="8">
        <f t="shared" si="79"/>
        <v>-0.20835903773458295</v>
      </c>
      <c r="F151" s="7">
        <f>(F54)-(F150)</f>
        <v>31078.489999999998</v>
      </c>
      <c r="G151" s="7">
        <f>(G54)-(G150)</f>
        <v>0</v>
      </c>
      <c r="H151" s="7">
        <f t="shared" si="80"/>
        <v>31078.489999999998</v>
      </c>
      <c r="I151" s="8" t="str">
        <f t="shared" si="81"/>
        <v/>
      </c>
      <c r="J151" s="7">
        <f>(J54)-(J150)</f>
        <v>68389.609999999986</v>
      </c>
      <c r="K151" s="7">
        <f>(K54)-(K150)</f>
        <v>0</v>
      </c>
      <c r="L151" s="7">
        <f t="shared" si="82"/>
        <v>68389.609999999986</v>
      </c>
      <c r="M151" s="8" t="str">
        <f t="shared" si="83"/>
        <v/>
      </c>
      <c r="N151" s="7">
        <f>(N54)-(N150)</f>
        <v>-17809.07</v>
      </c>
      <c r="O151" s="7">
        <f>(O54)-(O150)</f>
        <v>0</v>
      </c>
      <c r="P151" s="7">
        <f t="shared" si="84"/>
        <v>-17809.07</v>
      </c>
      <c r="Q151" s="8" t="str">
        <f t="shared" si="85"/>
        <v/>
      </c>
      <c r="R151" s="7">
        <f>(R54)-(R150)</f>
        <v>26311.290000000008</v>
      </c>
      <c r="S151" s="7">
        <f>(S54)-(S150)</f>
        <v>0</v>
      </c>
      <c r="T151" s="7">
        <f t="shared" si="86"/>
        <v>26311.290000000008</v>
      </c>
      <c r="U151" s="8" t="str">
        <f t="shared" si="87"/>
        <v/>
      </c>
      <c r="V151" s="7">
        <f>(V54)-(V150)</f>
        <v>32206.94</v>
      </c>
      <c r="W151" s="7">
        <f>(W54)-(W150)</f>
        <v>0</v>
      </c>
      <c r="X151" s="7">
        <f t="shared" si="88"/>
        <v>32206.94</v>
      </c>
      <c r="Y151" s="8" t="str">
        <f t="shared" si="89"/>
        <v/>
      </c>
      <c r="Z151" s="7">
        <f>(Z54)-(Z150)</f>
        <v>72826.87000000001</v>
      </c>
      <c r="AA151" s="7">
        <f>(AA54)-(AA150)</f>
        <v>0</v>
      </c>
      <c r="AB151" s="7">
        <f t="shared" si="90"/>
        <v>72826.87000000001</v>
      </c>
      <c r="AC151" s="8" t="str">
        <f t="shared" si="91"/>
        <v/>
      </c>
      <c r="AD151" s="7">
        <f>(AD54)-(AD150)</f>
        <v>-17536.36</v>
      </c>
      <c r="AE151" s="7">
        <f>(AE54)-(AE150)</f>
        <v>0</v>
      </c>
      <c r="AF151" s="7">
        <f t="shared" si="92"/>
        <v>-17536.36</v>
      </c>
      <c r="AG151" s="8" t="str">
        <f t="shared" si="93"/>
        <v/>
      </c>
      <c r="AH151" s="7">
        <f>(AH54)-(AH150)</f>
        <v>-24236.48</v>
      </c>
      <c r="AI151" s="7">
        <f>(AI54)-(AI150)</f>
        <v>0</v>
      </c>
      <c r="AJ151" s="7">
        <f t="shared" si="94"/>
        <v>-24236.48</v>
      </c>
      <c r="AK151" s="8" t="str">
        <f t="shared" si="95"/>
        <v/>
      </c>
      <c r="AL151" s="7">
        <f>(AL54)-(AL150)</f>
        <v>-40661.280000000006</v>
      </c>
      <c r="AM151" s="7">
        <f>(AM54)-(AM150)</f>
        <v>0</v>
      </c>
      <c r="AN151" s="7">
        <f t="shared" si="96"/>
        <v>-40661.280000000006</v>
      </c>
      <c r="AO151" s="8" t="str">
        <f t="shared" si="97"/>
        <v/>
      </c>
      <c r="AP151" s="7">
        <f>(AP54)-(AP150)</f>
        <v>-19941.650000000001</v>
      </c>
      <c r="AQ151" s="7">
        <f>(AQ54)-(AQ150)</f>
        <v>0</v>
      </c>
      <c r="AR151" s="7">
        <f t="shared" si="98"/>
        <v>-19941.650000000001</v>
      </c>
      <c r="AS151" s="8" t="str">
        <f t="shared" si="99"/>
        <v/>
      </c>
      <c r="AT151" s="7">
        <f t="shared" si="100"/>
        <v>73367.930000000022</v>
      </c>
      <c r="AU151" s="7">
        <f t="shared" si="101"/>
        <v>178828</v>
      </c>
      <c r="AV151" s="7">
        <f t="shared" si="102"/>
        <v>-105460.06999999998</v>
      </c>
      <c r="AW151" s="8">
        <f t="shared" si="103"/>
        <v>0.41027093072673193</v>
      </c>
    </row>
    <row r="152" spans="1:49" x14ac:dyDescent="0.25">
      <c r="A152" s="3" t="s">
        <v>161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</row>
    <row r="153" spans="1:49" x14ac:dyDescent="0.25">
      <c r="A153" s="3" t="s">
        <v>162</v>
      </c>
      <c r="B153" s="5">
        <f>72.95</f>
        <v>72.95</v>
      </c>
      <c r="C153" s="4"/>
      <c r="D153" s="5">
        <f>(B153)-(C153)</f>
        <v>72.95</v>
      </c>
      <c r="E153" s="6" t="str">
        <f>IF(C153=0,"",(B153)/(C153))</f>
        <v/>
      </c>
      <c r="F153" s="4"/>
      <c r="G153" s="4"/>
      <c r="H153" s="5">
        <f>(F153)-(G153)</f>
        <v>0</v>
      </c>
      <c r="I153" s="6" t="str">
        <f>IF(G153=0,"",(F153)/(G153))</f>
        <v/>
      </c>
      <c r="J153" s="4"/>
      <c r="K153" s="4"/>
      <c r="L153" s="5">
        <f>(J153)-(K153)</f>
        <v>0</v>
      </c>
      <c r="M153" s="6" t="str">
        <f>IF(K153=0,"",(J153)/(K153))</f>
        <v/>
      </c>
      <c r="N153" s="4"/>
      <c r="O153" s="4"/>
      <c r="P153" s="5">
        <f>(N153)-(O153)</f>
        <v>0</v>
      </c>
      <c r="Q153" s="6" t="str">
        <f>IF(O153=0,"",(N153)/(O153))</f>
        <v/>
      </c>
      <c r="R153" s="4"/>
      <c r="S153" s="4"/>
      <c r="T153" s="5">
        <f>(R153)-(S153)</f>
        <v>0</v>
      </c>
      <c r="U153" s="6" t="str">
        <f>IF(S153=0,"",(R153)/(S153))</f>
        <v/>
      </c>
      <c r="V153" s="4"/>
      <c r="W153" s="4"/>
      <c r="X153" s="5">
        <f>(V153)-(W153)</f>
        <v>0</v>
      </c>
      <c r="Y153" s="6" t="str">
        <f>IF(W153=0,"",(V153)/(W153))</f>
        <v/>
      </c>
      <c r="Z153" s="4"/>
      <c r="AA153" s="4"/>
      <c r="AB153" s="5">
        <f>(Z153)-(AA153)</f>
        <v>0</v>
      </c>
      <c r="AC153" s="6" t="str">
        <f>IF(AA153=0,"",(Z153)/(AA153))</f>
        <v/>
      </c>
      <c r="AD153" s="4"/>
      <c r="AE153" s="4"/>
      <c r="AF153" s="5">
        <f>(AD153)-(AE153)</f>
        <v>0</v>
      </c>
      <c r="AG153" s="6" t="str">
        <f>IF(AE153=0,"",(AD153)/(AE153))</f>
        <v/>
      </c>
      <c r="AH153" s="4"/>
      <c r="AI153" s="4"/>
      <c r="AJ153" s="5">
        <f>(AH153)-(AI153)</f>
        <v>0</v>
      </c>
      <c r="AK153" s="6" t="str">
        <f>IF(AI153=0,"",(AH153)/(AI153))</f>
        <v/>
      </c>
      <c r="AL153" s="4"/>
      <c r="AM153" s="4"/>
      <c r="AN153" s="5">
        <f>(AL153)-(AM153)</f>
        <v>0</v>
      </c>
      <c r="AO153" s="6" t="str">
        <f>IF(AM153=0,"",(AL153)/(AM153))</f>
        <v/>
      </c>
      <c r="AP153" s="4"/>
      <c r="AQ153" s="4"/>
      <c r="AR153" s="5">
        <f>(AP153)-(AQ153)</f>
        <v>0</v>
      </c>
      <c r="AS153" s="6" t="str">
        <f>IF(AQ153=0,"",(AP153)/(AQ153))</f>
        <v/>
      </c>
      <c r="AT153" s="5">
        <f>((((((((((B153)+(F153))+(J153))+(N153))+(R153))+(V153))+(Z153))+(AD153))+(AH153))+(AL153))+(AP153)</f>
        <v>72.95</v>
      </c>
      <c r="AU153" s="5">
        <f>((((((((((C153)+(G153))+(K153))+(O153))+(S153))+(W153))+(AA153))+(AE153))+(AI153))+(AM153))+(AQ153)</f>
        <v>0</v>
      </c>
      <c r="AV153" s="5">
        <f>(AT153)-(AU153)</f>
        <v>72.95</v>
      </c>
      <c r="AW153" s="6" t="str">
        <f>IF(AU153=0,"",(AT153)/(AU153))</f>
        <v/>
      </c>
    </row>
    <row r="154" spans="1:49" x14ac:dyDescent="0.25">
      <c r="A154" s="3" t="s">
        <v>163</v>
      </c>
      <c r="B154" s="7">
        <f>B153</f>
        <v>72.95</v>
      </c>
      <c r="C154" s="7">
        <f>C153</f>
        <v>0</v>
      </c>
      <c r="D154" s="7">
        <f>(B154)-(C154)</f>
        <v>72.95</v>
      </c>
      <c r="E154" s="8" t="str">
        <f>IF(C154=0,"",(B154)/(C154))</f>
        <v/>
      </c>
      <c r="F154" s="7">
        <f>F153</f>
        <v>0</v>
      </c>
      <c r="G154" s="7">
        <f>G153</f>
        <v>0</v>
      </c>
      <c r="H154" s="7">
        <f>(F154)-(G154)</f>
        <v>0</v>
      </c>
      <c r="I154" s="8" t="str">
        <f>IF(G154=0,"",(F154)/(G154))</f>
        <v/>
      </c>
      <c r="J154" s="7">
        <f>J153</f>
        <v>0</v>
      </c>
      <c r="K154" s="7">
        <f>K153</f>
        <v>0</v>
      </c>
      <c r="L154" s="7">
        <f>(J154)-(K154)</f>
        <v>0</v>
      </c>
      <c r="M154" s="8" t="str">
        <f>IF(K154=0,"",(J154)/(K154))</f>
        <v/>
      </c>
      <c r="N154" s="7">
        <f>N153</f>
        <v>0</v>
      </c>
      <c r="O154" s="7">
        <f>O153</f>
        <v>0</v>
      </c>
      <c r="P154" s="7">
        <f>(N154)-(O154)</f>
        <v>0</v>
      </c>
      <c r="Q154" s="8" t="str">
        <f>IF(O154=0,"",(N154)/(O154))</f>
        <v/>
      </c>
      <c r="R154" s="7">
        <f>R153</f>
        <v>0</v>
      </c>
      <c r="S154" s="7">
        <f>S153</f>
        <v>0</v>
      </c>
      <c r="T154" s="7">
        <f>(R154)-(S154)</f>
        <v>0</v>
      </c>
      <c r="U154" s="8" t="str">
        <f>IF(S154=0,"",(R154)/(S154))</f>
        <v/>
      </c>
      <c r="V154" s="7">
        <f>V153</f>
        <v>0</v>
      </c>
      <c r="W154" s="7">
        <f>W153</f>
        <v>0</v>
      </c>
      <c r="X154" s="7">
        <f>(V154)-(W154)</f>
        <v>0</v>
      </c>
      <c r="Y154" s="8" t="str">
        <f>IF(W154=0,"",(V154)/(W154))</f>
        <v/>
      </c>
      <c r="Z154" s="7">
        <f>Z153</f>
        <v>0</v>
      </c>
      <c r="AA154" s="7">
        <f>AA153</f>
        <v>0</v>
      </c>
      <c r="AB154" s="7">
        <f>(Z154)-(AA154)</f>
        <v>0</v>
      </c>
      <c r="AC154" s="8" t="str">
        <f>IF(AA154=0,"",(Z154)/(AA154))</f>
        <v/>
      </c>
      <c r="AD154" s="7">
        <f>AD153</f>
        <v>0</v>
      </c>
      <c r="AE154" s="7">
        <f>AE153</f>
        <v>0</v>
      </c>
      <c r="AF154" s="7">
        <f>(AD154)-(AE154)</f>
        <v>0</v>
      </c>
      <c r="AG154" s="8" t="str">
        <f>IF(AE154=0,"",(AD154)/(AE154))</f>
        <v/>
      </c>
      <c r="AH154" s="7">
        <f>AH153</f>
        <v>0</v>
      </c>
      <c r="AI154" s="7">
        <f>AI153</f>
        <v>0</v>
      </c>
      <c r="AJ154" s="7">
        <f>(AH154)-(AI154)</f>
        <v>0</v>
      </c>
      <c r="AK154" s="8" t="str">
        <f>IF(AI154=0,"",(AH154)/(AI154))</f>
        <v/>
      </c>
      <c r="AL154" s="7">
        <f>AL153</f>
        <v>0</v>
      </c>
      <c r="AM154" s="7">
        <f>AM153</f>
        <v>0</v>
      </c>
      <c r="AN154" s="7">
        <f>(AL154)-(AM154)</f>
        <v>0</v>
      </c>
      <c r="AO154" s="8" t="str">
        <f>IF(AM154=0,"",(AL154)/(AM154))</f>
        <v/>
      </c>
      <c r="AP154" s="7">
        <f>AP153</f>
        <v>0</v>
      </c>
      <c r="AQ154" s="7">
        <f>AQ153</f>
        <v>0</v>
      </c>
      <c r="AR154" s="7">
        <f>(AP154)-(AQ154)</f>
        <v>0</v>
      </c>
      <c r="AS154" s="8" t="str">
        <f>IF(AQ154=0,"",(AP154)/(AQ154))</f>
        <v/>
      </c>
      <c r="AT154" s="7">
        <f>((((((((((B154)+(F154))+(J154))+(N154))+(R154))+(V154))+(Z154))+(AD154))+(AH154))+(AL154))+(AP154)</f>
        <v>72.95</v>
      </c>
      <c r="AU154" s="7">
        <f>((((((((((C154)+(G154))+(K154))+(O154))+(S154))+(W154))+(AA154))+(AE154))+(AI154))+(AM154))+(AQ154)</f>
        <v>0</v>
      </c>
      <c r="AV154" s="7">
        <f>(AT154)-(AU154)</f>
        <v>72.95</v>
      </c>
      <c r="AW154" s="8" t="str">
        <f>IF(AU154=0,"",(AT154)/(AU154))</f>
        <v/>
      </c>
    </row>
    <row r="155" spans="1:49" x14ac:dyDescent="0.25">
      <c r="A155" s="3" t="s">
        <v>164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</row>
    <row r="156" spans="1:49" x14ac:dyDescent="0.25">
      <c r="A156" s="3" t="s">
        <v>165</v>
      </c>
      <c r="B156" s="4"/>
      <c r="C156" s="5">
        <f>0</f>
        <v>0</v>
      </c>
      <c r="D156" s="5">
        <f t="shared" ref="D156:D167" si="104">(B156)-(C156)</f>
        <v>0</v>
      </c>
      <c r="E156" s="6" t="str">
        <f t="shared" ref="E156:E167" si="105">IF(C156=0,"",(B156)/(C156))</f>
        <v/>
      </c>
      <c r="F156" s="4"/>
      <c r="G156" s="5">
        <f>0</f>
        <v>0</v>
      </c>
      <c r="H156" s="5">
        <f t="shared" ref="H156:H167" si="106">(F156)-(G156)</f>
        <v>0</v>
      </c>
      <c r="I156" s="6" t="str">
        <f t="shared" ref="I156:I167" si="107">IF(G156=0,"",(F156)/(G156))</f>
        <v/>
      </c>
      <c r="J156" s="4"/>
      <c r="K156" s="5">
        <f>0</f>
        <v>0</v>
      </c>
      <c r="L156" s="5">
        <f t="shared" ref="L156:L167" si="108">(J156)-(K156)</f>
        <v>0</v>
      </c>
      <c r="M156" s="6" t="str">
        <f t="shared" ref="M156:M167" si="109">IF(K156=0,"",(J156)/(K156))</f>
        <v/>
      </c>
      <c r="N156" s="4"/>
      <c r="O156" s="5">
        <f>0</f>
        <v>0</v>
      </c>
      <c r="P156" s="5">
        <f t="shared" ref="P156:P167" si="110">(N156)-(O156)</f>
        <v>0</v>
      </c>
      <c r="Q156" s="6" t="str">
        <f t="shared" ref="Q156:Q167" si="111">IF(O156=0,"",(N156)/(O156))</f>
        <v/>
      </c>
      <c r="R156" s="4"/>
      <c r="S156" s="5">
        <f>0</f>
        <v>0</v>
      </c>
      <c r="T156" s="5">
        <f t="shared" ref="T156:T167" si="112">(R156)-(S156)</f>
        <v>0</v>
      </c>
      <c r="U156" s="6" t="str">
        <f t="shared" ref="U156:U167" si="113">IF(S156=0,"",(R156)/(S156))</f>
        <v/>
      </c>
      <c r="V156" s="4"/>
      <c r="W156" s="5">
        <f>0</f>
        <v>0</v>
      </c>
      <c r="X156" s="5">
        <f t="shared" ref="X156:X167" si="114">(V156)-(W156)</f>
        <v>0</v>
      </c>
      <c r="Y156" s="6" t="str">
        <f t="shared" ref="Y156:Y167" si="115">IF(W156=0,"",(V156)/(W156))</f>
        <v/>
      </c>
      <c r="Z156" s="4"/>
      <c r="AA156" s="5">
        <f>0</f>
        <v>0</v>
      </c>
      <c r="AB156" s="5">
        <f t="shared" ref="AB156:AB167" si="116">(Z156)-(AA156)</f>
        <v>0</v>
      </c>
      <c r="AC156" s="6" t="str">
        <f t="shared" ref="AC156:AC167" si="117">IF(AA156=0,"",(Z156)/(AA156))</f>
        <v/>
      </c>
      <c r="AD156" s="4"/>
      <c r="AE156" s="5">
        <f>0</f>
        <v>0</v>
      </c>
      <c r="AF156" s="5">
        <f t="shared" ref="AF156:AF167" si="118">(AD156)-(AE156)</f>
        <v>0</v>
      </c>
      <c r="AG156" s="6" t="str">
        <f t="shared" ref="AG156:AG167" si="119">IF(AE156=0,"",(AD156)/(AE156))</f>
        <v/>
      </c>
      <c r="AH156" s="4"/>
      <c r="AI156" s="5">
        <f>0</f>
        <v>0</v>
      </c>
      <c r="AJ156" s="5">
        <f t="shared" ref="AJ156:AJ167" si="120">(AH156)-(AI156)</f>
        <v>0</v>
      </c>
      <c r="AK156" s="6" t="str">
        <f t="shared" ref="AK156:AK167" si="121">IF(AI156=0,"",(AH156)/(AI156))</f>
        <v/>
      </c>
      <c r="AL156" s="4"/>
      <c r="AM156" s="5">
        <f>0</f>
        <v>0</v>
      </c>
      <c r="AN156" s="5">
        <f t="shared" ref="AN156:AN167" si="122">(AL156)-(AM156)</f>
        <v>0</v>
      </c>
      <c r="AO156" s="6" t="str">
        <f t="shared" ref="AO156:AO167" si="123">IF(AM156=0,"",(AL156)/(AM156))</f>
        <v/>
      </c>
      <c r="AP156" s="4"/>
      <c r="AQ156" s="5">
        <f>0</f>
        <v>0</v>
      </c>
      <c r="AR156" s="5">
        <f t="shared" ref="AR156:AR167" si="124">(AP156)-(AQ156)</f>
        <v>0</v>
      </c>
      <c r="AS156" s="6" t="str">
        <f t="shared" ref="AS156:AS167" si="125">IF(AQ156=0,"",(AP156)/(AQ156))</f>
        <v/>
      </c>
      <c r="AT156" s="5">
        <f t="shared" ref="AT156:AT167" si="126">((((((((((B156)+(F156))+(J156))+(N156))+(R156))+(V156))+(Z156))+(AD156))+(AH156))+(AL156))+(AP156)</f>
        <v>0</v>
      </c>
      <c r="AU156" s="5">
        <f t="shared" ref="AU156:AU167" si="127">((((((((((C156)+(G156))+(K156))+(O156))+(S156))+(W156))+(AA156))+(AE156))+(AI156))+(AM156))+(AQ156)</f>
        <v>0</v>
      </c>
      <c r="AV156" s="5">
        <f t="shared" ref="AV156:AV167" si="128">(AT156)-(AU156)</f>
        <v>0</v>
      </c>
      <c r="AW156" s="6" t="str">
        <f t="shared" ref="AW156:AW167" si="129">IF(AU156=0,"",(AT156)/(AU156))</f>
        <v/>
      </c>
    </row>
    <row r="157" spans="1:49" x14ac:dyDescent="0.25">
      <c r="A157" s="3" t="s">
        <v>166</v>
      </c>
      <c r="B157" s="4"/>
      <c r="C157" s="4"/>
      <c r="D157" s="5">
        <f t="shared" si="104"/>
        <v>0</v>
      </c>
      <c r="E157" s="6" t="str">
        <f t="shared" si="105"/>
        <v/>
      </c>
      <c r="F157" s="4"/>
      <c r="G157" s="4"/>
      <c r="H157" s="5">
        <f t="shared" si="106"/>
        <v>0</v>
      </c>
      <c r="I157" s="6" t="str">
        <f t="shared" si="107"/>
        <v/>
      </c>
      <c r="J157" s="4"/>
      <c r="K157" s="4"/>
      <c r="L157" s="5">
        <f t="shared" si="108"/>
        <v>0</v>
      </c>
      <c r="M157" s="6" t="str">
        <f t="shared" si="109"/>
        <v/>
      </c>
      <c r="N157" s="4"/>
      <c r="O157" s="4"/>
      <c r="P157" s="5">
        <f t="shared" si="110"/>
        <v>0</v>
      </c>
      <c r="Q157" s="6" t="str">
        <f t="shared" si="111"/>
        <v/>
      </c>
      <c r="R157" s="4"/>
      <c r="S157" s="4"/>
      <c r="T157" s="5">
        <f t="shared" si="112"/>
        <v>0</v>
      </c>
      <c r="U157" s="6" t="str">
        <f t="shared" si="113"/>
        <v/>
      </c>
      <c r="V157" s="4"/>
      <c r="W157" s="4"/>
      <c r="X157" s="5">
        <f t="shared" si="114"/>
        <v>0</v>
      </c>
      <c r="Y157" s="6" t="str">
        <f t="shared" si="115"/>
        <v/>
      </c>
      <c r="Z157" s="4"/>
      <c r="AA157" s="4"/>
      <c r="AB157" s="5">
        <f t="shared" si="116"/>
        <v>0</v>
      </c>
      <c r="AC157" s="6" t="str">
        <f t="shared" si="117"/>
        <v/>
      </c>
      <c r="AD157" s="4"/>
      <c r="AE157" s="4"/>
      <c r="AF157" s="5">
        <f t="shared" si="118"/>
        <v>0</v>
      </c>
      <c r="AG157" s="6" t="str">
        <f t="shared" si="119"/>
        <v/>
      </c>
      <c r="AH157" s="4"/>
      <c r="AI157" s="4"/>
      <c r="AJ157" s="5">
        <f t="shared" si="120"/>
        <v>0</v>
      </c>
      <c r="AK157" s="6" t="str">
        <f t="shared" si="121"/>
        <v/>
      </c>
      <c r="AL157" s="4"/>
      <c r="AM157" s="4"/>
      <c r="AN157" s="5">
        <f t="shared" si="122"/>
        <v>0</v>
      </c>
      <c r="AO157" s="6" t="str">
        <f t="shared" si="123"/>
        <v/>
      </c>
      <c r="AP157" s="4"/>
      <c r="AQ157" s="4"/>
      <c r="AR157" s="5">
        <f t="shared" si="124"/>
        <v>0</v>
      </c>
      <c r="AS157" s="6" t="str">
        <f t="shared" si="125"/>
        <v/>
      </c>
      <c r="AT157" s="5">
        <f t="shared" si="126"/>
        <v>0</v>
      </c>
      <c r="AU157" s="5">
        <f t="shared" si="127"/>
        <v>0</v>
      </c>
      <c r="AV157" s="5">
        <f t="shared" si="128"/>
        <v>0</v>
      </c>
      <c r="AW157" s="6" t="str">
        <f t="shared" si="129"/>
        <v/>
      </c>
    </row>
    <row r="158" spans="1:49" x14ac:dyDescent="0.25">
      <c r="A158" s="3" t="s">
        <v>167</v>
      </c>
      <c r="B158" s="4"/>
      <c r="C158" s="5">
        <f>105065</f>
        <v>105065</v>
      </c>
      <c r="D158" s="5">
        <f t="shared" si="104"/>
        <v>-105065</v>
      </c>
      <c r="E158" s="6">
        <f t="shared" si="105"/>
        <v>0</v>
      </c>
      <c r="F158" s="4"/>
      <c r="G158" s="5">
        <f>0</f>
        <v>0</v>
      </c>
      <c r="H158" s="5">
        <f t="shared" si="106"/>
        <v>0</v>
      </c>
      <c r="I158" s="6" t="str">
        <f t="shared" si="107"/>
        <v/>
      </c>
      <c r="J158" s="5">
        <f>51667.93</f>
        <v>51667.93</v>
      </c>
      <c r="K158" s="5">
        <f>0</f>
        <v>0</v>
      </c>
      <c r="L158" s="5">
        <f t="shared" si="108"/>
        <v>51667.93</v>
      </c>
      <c r="M158" s="6" t="str">
        <f t="shared" si="109"/>
        <v/>
      </c>
      <c r="N158" s="4"/>
      <c r="O158" s="5">
        <f>0</f>
        <v>0</v>
      </c>
      <c r="P158" s="5">
        <f t="shared" si="110"/>
        <v>0</v>
      </c>
      <c r="Q158" s="6" t="str">
        <f t="shared" si="111"/>
        <v/>
      </c>
      <c r="R158" s="4"/>
      <c r="S158" s="5">
        <f>0</f>
        <v>0</v>
      </c>
      <c r="T158" s="5">
        <f t="shared" si="112"/>
        <v>0</v>
      </c>
      <c r="U158" s="6" t="str">
        <f t="shared" si="113"/>
        <v/>
      </c>
      <c r="V158" s="4"/>
      <c r="W158" s="5">
        <f>0</f>
        <v>0</v>
      </c>
      <c r="X158" s="5">
        <f t="shared" si="114"/>
        <v>0</v>
      </c>
      <c r="Y158" s="6" t="str">
        <f t="shared" si="115"/>
        <v/>
      </c>
      <c r="Z158" s="4"/>
      <c r="AA158" s="5">
        <f>0</f>
        <v>0</v>
      </c>
      <c r="AB158" s="5">
        <f t="shared" si="116"/>
        <v>0</v>
      </c>
      <c r="AC158" s="6" t="str">
        <f t="shared" si="117"/>
        <v/>
      </c>
      <c r="AD158" s="4"/>
      <c r="AE158" s="5">
        <f>0</f>
        <v>0</v>
      </c>
      <c r="AF158" s="5">
        <f t="shared" si="118"/>
        <v>0</v>
      </c>
      <c r="AG158" s="6" t="str">
        <f t="shared" si="119"/>
        <v/>
      </c>
      <c r="AH158" s="5">
        <f>52370.39</f>
        <v>52370.39</v>
      </c>
      <c r="AI158" s="5">
        <f>0</f>
        <v>0</v>
      </c>
      <c r="AJ158" s="5">
        <f t="shared" si="120"/>
        <v>52370.39</v>
      </c>
      <c r="AK158" s="6" t="str">
        <f t="shared" si="121"/>
        <v/>
      </c>
      <c r="AL158" s="4"/>
      <c r="AM158" s="5">
        <f>0</f>
        <v>0</v>
      </c>
      <c r="AN158" s="5">
        <f t="shared" si="122"/>
        <v>0</v>
      </c>
      <c r="AO158" s="6" t="str">
        <f t="shared" si="123"/>
        <v/>
      </c>
      <c r="AP158" s="4"/>
      <c r="AQ158" s="5">
        <f>0</f>
        <v>0</v>
      </c>
      <c r="AR158" s="5">
        <f t="shared" si="124"/>
        <v>0</v>
      </c>
      <c r="AS158" s="6" t="str">
        <f t="shared" si="125"/>
        <v/>
      </c>
      <c r="AT158" s="5">
        <f t="shared" si="126"/>
        <v>104038.32</v>
      </c>
      <c r="AU158" s="5">
        <f t="shared" si="127"/>
        <v>105065</v>
      </c>
      <c r="AV158" s="5">
        <f t="shared" si="128"/>
        <v>-1026.679999999993</v>
      </c>
      <c r="AW158" s="6">
        <f t="shared" si="129"/>
        <v>0.99022814448198737</v>
      </c>
    </row>
    <row r="159" spans="1:49" x14ac:dyDescent="0.25">
      <c r="A159" s="3" t="s">
        <v>168</v>
      </c>
      <c r="B159" s="4"/>
      <c r="C159" s="5">
        <f>30343</f>
        <v>30343</v>
      </c>
      <c r="D159" s="5">
        <f t="shared" si="104"/>
        <v>-30343</v>
      </c>
      <c r="E159" s="6">
        <f t="shared" si="105"/>
        <v>0</v>
      </c>
      <c r="F159" s="4"/>
      <c r="G159" s="5">
        <f>0</f>
        <v>0</v>
      </c>
      <c r="H159" s="5">
        <f t="shared" si="106"/>
        <v>0</v>
      </c>
      <c r="I159" s="6" t="str">
        <f t="shared" si="107"/>
        <v/>
      </c>
      <c r="J159" s="5">
        <f>16036.3</f>
        <v>16036.3</v>
      </c>
      <c r="K159" s="5">
        <f>0</f>
        <v>0</v>
      </c>
      <c r="L159" s="5">
        <f t="shared" si="108"/>
        <v>16036.3</v>
      </c>
      <c r="M159" s="6" t="str">
        <f t="shared" si="109"/>
        <v/>
      </c>
      <c r="N159" s="4"/>
      <c r="O159" s="5">
        <f>0</f>
        <v>0</v>
      </c>
      <c r="P159" s="5">
        <f t="shared" si="110"/>
        <v>0</v>
      </c>
      <c r="Q159" s="6" t="str">
        <f t="shared" si="111"/>
        <v/>
      </c>
      <c r="R159" s="4"/>
      <c r="S159" s="5">
        <f>0</f>
        <v>0</v>
      </c>
      <c r="T159" s="5">
        <f t="shared" si="112"/>
        <v>0</v>
      </c>
      <c r="U159" s="6" t="str">
        <f t="shared" si="113"/>
        <v/>
      </c>
      <c r="V159" s="4"/>
      <c r="W159" s="5">
        <f>0</f>
        <v>0</v>
      </c>
      <c r="X159" s="5">
        <f t="shared" si="114"/>
        <v>0</v>
      </c>
      <c r="Y159" s="6" t="str">
        <f t="shared" si="115"/>
        <v/>
      </c>
      <c r="Z159" s="4"/>
      <c r="AA159" s="5">
        <f>0</f>
        <v>0</v>
      </c>
      <c r="AB159" s="5">
        <f t="shared" si="116"/>
        <v>0</v>
      </c>
      <c r="AC159" s="6" t="str">
        <f t="shared" si="117"/>
        <v/>
      </c>
      <c r="AD159" s="4"/>
      <c r="AE159" s="5">
        <f>0</f>
        <v>0</v>
      </c>
      <c r="AF159" s="5">
        <f t="shared" si="118"/>
        <v>0</v>
      </c>
      <c r="AG159" s="6" t="str">
        <f t="shared" si="119"/>
        <v/>
      </c>
      <c r="AH159" s="5">
        <f>15333.84</f>
        <v>15333.84</v>
      </c>
      <c r="AI159" s="5">
        <f>0</f>
        <v>0</v>
      </c>
      <c r="AJ159" s="5">
        <f t="shared" si="120"/>
        <v>15333.84</v>
      </c>
      <c r="AK159" s="6" t="str">
        <f t="shared" si="121"/>
        <v/>
      </c>
      <c r="AL159" s="4"/>
      <c r="AM159" s="5">
        <f>0</f>
        <v>0</v>
      </c>
      <c r="AN159" s="5">
        <f t="shared" si="122"/>
        <v>0</v>
      </c>
      <c r="AO159" s="6" t="str">
        <f t="shared" si="123"/>
        <v/>
      </c>
      <c r="AP159" s="4"/>
      <c r="AQ159" s="5">
        <f>0</f>
        <v>0</v>
      </c>
      <c r="AR159" s="5">
        <f t="shared" si="124"/>
        <v>0</v>
      </c>
      <c r="AS159" s="6" t="str">
        <f t="shared" si="125"/>
        <v/>
      </c>
      <c r="AT159" s="5">
        <f t="shared" si="126"/>
        <v>31370.14</v>
      </c>
      <c r="AU159" s="5">
        <f t="shared" si="127"/>
        <v>30343</v>
      </c>
      <c r="AV159" s="5">
        <f t="shared" si="128"/>
        <v>1027.1399999999994</v>
      </c>
      <c r="AW159" s="6">
        <f t="shared" si="129"/>
        <v>1.0338509705698185</v>
      </c>
    </row>
    <row r="160" spans="1:49" x14ac:dyDescent="0.25">
      <c r="A160" s="3" t="s">
        <v>169</v>
      </c>
      <c r="B160" s="7">
        <f>((B157)+(B158))+(B159)</f>
        <v>0</v>
      </c>
      <c r="C160" s="7">
        <f>((C157)+(C158))+(C159)</f>
        <v>135408</v>
      </c>
      <c r="D160" s="7">
        <f t="shared" si="104"/>
        <v>-135408</v>
      </c>
      <c r="E160" s="8">
        <f t="shared" si="105"/>
        <v>0</v>
      </c>
      <c r="F160" s="7">
        <f>((F157)+(F158))+(F159)</f>
        <v>0</v>
      </c>
      <c r="G160" s="7">
        <f>((G157)+(G158))+(G159)</f>
        <v>0</v>
      </c>
      <c r="H160" s="7">
        <f t="shared" si="106"/>
        <v>0</v>
      </c>
      <c r="I160" s="8" t="str">
        <f t="shared" si="107"/>
        <v/>
      </c>
      <c r="J160" s="7">
        <f>((J157)+(J158))+(J159)</f>
        <v>67704.23</v>
      </c>
      <c r="K160" s="7">
        <f>((K157)+(K158))+(K159)</f>
        <v>0</v>
      </c>
      <c r="L160" s="7">
        <f t="shared" si="108"/>
        <v>67704.23</v>
      </c>
      <c r="M160" s="8" t="str">
        <f t="shared" si="109"/>
        <v/>
      </c>
      <c r="N160" s="7">
        <f>((N157)+(N158))+(N159)</f>
        <v>0</v>
      </c>
      <c r="O160" s="7">
        <f>((O157)+(O158))+(O159)</f>
        <v>0</v>
      </c>
      <c r="P160" s="7">
        <f t="shared" si="110"/>
        <v>0</v>
      </c>
      <c r="Q160" s="8" t="str">
        <f t="shared" si="111"/>
        <v/>
      </c>
      <c r="R160" s="7">
        <f>((R157)+(R158))+(R159)</f>
        <v>0</v>
      </c>
      <c r="S160" s="7">
        <f>((S157)+(S158))+(S159)</f>
        <v>0</v>
      </c>
      <c r="T160" s="7">
        <f t="shared" si="112"/>
        <v>0</v>
      </c>
      <c r="U160" s="8" t="str">
        <f t="shared" si="113"/>
        <v/>
      </c>
      <c r="V160" s="7">
        <f>((V157)+(V158))+(V159)</f>
        <v>0</v>
      </c>
      <c r="W160" s="7">
        <f>((W157)+(W158))+(W159)</f>
        <v>0</v>
      </c>
      <c r="X160" s="7">
        <f t="shared" si="114"/>
        <v>0</v>
      </c>
      <c r="Y160" s="8" t="str">
        <f t="shared" si="115"/>
        <v/>
      </c>
      <c r="Z160" s="7">
        <f>((Z157)+(Z158))+(Z159)</f>
        <v>0</v>
      </c>
      <c r="AA160" s="7">
        <f>((AA157)+(AA158))+(AA159)</f>
        <v>0</v>
      </c>
      <c r="AB160" s="7">
        <f t="shared" si="116"/>
        <v>0</v>
      </c>
      <c r="AC160" s="8" t="str">
        <f t="shared" si="117"/>
        <v/>
      </c>
      <c r="AD160" s="7">
        <f>((AD157)+(AD158))+(AD159)</f>
        <v>0</v>
      </c>
      <c r="AE160" s="7">
        <f>((AE157)+(AE158))+(AE159)</f>
        <v>0</v>
      </c>
      <c r="AF160" s="7">
        <f t="shared" si="118"/>
        <v>0</v>
      </c>
      <c r="AG160" s="8" t="str">
        <f t="shared" si="119"/>
        <v/>
      </c>
      <c r="AH160" s="7">
        <f>((AH157)+(AH158))+(AH159)</f>
        <v>67704.23</v>
      </c>
      <c r="AI160" s="7">
        <f>((AI157)+(AI158))+(AI159)</f>
        <v>0</v>
      </c>
      <c r="AJ160" s="7">
        <f t="shared" si="120"/>
        <v>67704.23</v>
      </c>
      <c r="AK160" s="8" t="str">
        <f t="shared" si="121"/>
        <v/>
      </c>
      <c r="AL160" s="7">
        <f>((AL157)+(AL158))+(AL159)</f>
        <v>0</v>
      </c>
      <c r="AM160" s="7">
        <f>((AM157)+(AM158))+(AM159)</f>
        <v>0</v>
      </c>
      <c r="AN160" s="7">
        <f t="shared" si="122"/>
        <v>0</v>
      </c>
      <c r="AO160" s="8" t="str">
        <f t="shared" si="123"/>
        <v/>
      </c>
      <c r="AP160" s="7">
        <f>((AP157)+(AP158))+(AP159)</f>
        <v>0</v>
      </c>
      <c r="AQ160" s="7">
        <f>((AQ157)+(AQ158))+(AQ159)</f>
        <v>0</v>
      </c>
      <c r="AR160" s="7">
        <f t="shared" si="124"/>
        <v>0</v>
      </c>
      <c r="AS160" s="8" t="str">
        <f t="shared" si="125"/>
        <v/>
      </c>
      <c r="AT160" s="7">
        <f t="shared" si="126"/>
        <v>135408.46</v>
      </c>
      <c r="AU160" s="7">
        <f t="shared" si="127"/>
        <v>135408</v>
      </c>
      <c r="AV160" s="7">
        <f t="shared" si="128"/>
        <v>0.45999999999185093</v>
      </c>
      <c r="AW160" s="8">
        <f t="shared" si="129"/>
        <v>1.0000033971404938</v>
      </c>
    </row>
    <row r="161" spans="1:49" x14ac:dyDescent="0.25">
      <c r="A161" s="3" t="s">
        <v>170</v>
      </c>
      <c r="B161" s="4"/>
      <c r="C161" s="4"/>
      <c r="D161" s="5">
        <f t="shared" si="104"/>
        <v>0</v>
      </c>
      <c r="E161" s="6" t="str">
        <f t="shared" si="105"/>
        <v/>
      </c>
      <c r="F161" s="4"/>
      <c r="G161" s="4"/>
      <c r="H161" s="5">
        <f t="shared" si="106"/>
        <v>0</v>
      </c>
      <c r="I161" s="6" t="str">
        <f t="shared" si="107"/>
        <v/>
      </c>
      <c r="J161" s="5">
        <f>-51667.93</f>
        <v>-51667.93</v>
      </c>
      <c r="K161" s="4"/>
      <c r="L161" s="5">
        <f t="shared" si="108"/>
        <v>-51667.93</v>
      </c>
      <c r="M161" s="6" t="str">
        <f t="shared" si="109"/>
        <v/>
      </c>
      <c r="N161" s="4"/>
      <c r="O161" s="4"/>
      <c r="P161" s="5">
        <f t="shared" si="110"/>
        <v>0</v>
      </c>
      <c r="Q161" s="6" t="str">
        <f t="shared" si="111"/>
        <v/>
      </c>
      <c r="R161" s="4"/>
      <c r="S161" s="4"/>
      <c r="T161" s="5">
        <f t="shared" si="112"/>
        <v>0</v>
      </c>
      <c r="U161" s="6" t="str">
        <f t="shared" si="113"/>
        <v/>
      </c>
      <c r="V161" s="4"/>
      <c r="W161" s="4"/>
      <c r="X161" s="5">
        <f t="shared" si="114"/>
        <v>0</v>
      </c>
      <c r="Y161" s="6" t="str">
        <f t="shared" si="115"/>
        <v/>
      </c>
      <c r="Z161" s="4"/>
      <c r="AA161" s="4"/>
      <c r="AB161" s="5">
        <f t="shared" si="116"/>
        <v>0</v>
      </c>
      <c r="AC161" s="6" t="str">
        <f t="shared" si="117"/>
        <v/>
      </c>
      <c r="AD161" s="4"/>
      <c r="AE161" s="4"/>
      <c r="AF161" s="5">
        <f t="shared" si="118"/>
        <v>0</v>
      </c>
      <c r="AG161" s="6" t="str">
        <f t="shared" si="119"/>
        <v/>
      </c>
      <c r="AH161" s="5">
        <f>-52370.39</f>
        <v>-52370.39</v>
      </c>
      <c r="AI161" s="4"/>
      <c r="AJ161" s="5">
        <f t="shared" si="120"/>
        <v>-52370.39</v>
      </c>
      <c r="AK161" s="6" t="str">
        <f t="shared" si="121"/>
        <v/>
      </c>
      <c r="AL161" s="4"/>
      <c r="AM161" s="4"/>
      <c r="AN161" s="5">
        <f t="shared" si="122"/>
        <v>0</v>
      </c>
      <c r="AO161" s="6" t="str">
        <f t="shared" si="123"/>
        <v/>
      </c>
      <c r="AP161" s="4"/>
      <c r="AQ161" s="4"/>
      <c r="AR161" s="5">
        <f t="shared" si="124"/>
        <v>0</v>
      </c>
      <c r="AS161" s="6" t="str">
        <f t="shared" si="125"/>
        <v/>
      </c>
      <c r="AT161" s="5">
        <f t="shared" si="126"/>
        <v>-104038.32</v>
      </c>
      <c r="AU161" s="5">
        <f t="shared" si="127"/>
        <v>0</v>
      </c>
      <c r="AV161" s="5">
        <f t="shared" si="128"/>
        <v>-104038.32</v>
      </c>
      <c r="AW161" s="6" t="str">
        <f t="shared" si="129"/>
        <v/>
      </c>
    </row>
    <row r="162" spans="1:49" x14ac:dyDescent="0.25">
      <c r="A162" s="3" t="s">
        <v>171</v>
      </c>
      <c r="B162" s="5">
        <f>11.37</f>
        <v>11.37</v>
      </c>
      <c r="C162" s="4"/>
      <c r="D162" s="5">
        <f t="shared" si="104"/>
        <v>11.37</v>
      </c>
      <c r="E162" s="6" t="str">
        <f t="shared" si="105"/>
        <v/>
      </c>
      <c r="F162" s="4"/>
      <c r="G162" s="4"/>
      <c r="H162" s="5">
        <f t="shared" si="106"/>
        <v>0</v>
      </c>
      <c r="I162" s="6" t="str">
        <f t="shared" si="107"/>
        <v/>
      </c>
      <c r="J162" s="4"/>
      <c r="K162" s="4"/>
      <c r="L162" s="5">
        <f t="shared" si="108"/>
        <v>0</v>
      </c>
      <c r="M162" s="6" t="str">
        <f t="shared" si="109"/>
        <v/>
      </c>
      <c r="N162" s="4"/>
      <c r="O162" s="4"/>
      <c r="P162" s="5">
        <f t="shared" si="110"/>
        <v>0</v>
      </c>
      <c r="Q162" s="6" t="str">
        <f t="shared" si="111"/>
        <v/>
      </c>
      <c r="R162" s="4"/>
      <c r="S162" s="4"/>
      <c r="T162" s="5">
        <f t="shared" si="112"/>
        <v>0</v>
      </c>
      <c r="U162" s="6" t="str">
        <f t="shared" si="113"/>
        <v/>
      </c>
      <c r="V162" s="4"/>
      <c r="W162" s="4"/>
      <c r="X162" s="5">
        <f t="shared" si="114"/>
        <v>0</v>
      </c>
      <c r="Y162" s="6" t="str">
        <f t="shared" si="115"/>
        <v/>
      </c>
      <c r="Z162" s="4"/>
      <c r="AA162" s="4"/>
      <c r="AB162" s="5">
        <f t="shared" si="116"/>
        <v>0</v>
      </c>
      <c r="AC162" s="6" t="str">
        <f t="shared" si="117"/>
        <v/>
      </c>
      <c r="AD162" s="4"/>
      <c r="AE162" s="4"/>
      <c r="AF162" s="5">
        <f t="shared" si="118"/>
        <v>0</v>
      </c>
      <c r="AG162" s="6" t="str">
        <f t="shared" si="119"/>
        <v/>
      </c>
      <c r="AH162" s="4"/>
      <c r="AI162" s="4"/>
      <c r="AJ162" s="5">
        <f t="shared" si="120"/>
        <v>0</v>
      </c>
      <c r="AK162" s="6" t="str">
        <f t="shared" si="121"/>
        <v/>
      </c>
      <c r="AL162" s="4"/>
      <c r="AM162" s="4"/>
      <c r="AN162" s="5">
        <f t="shared" si="122"/>
        <v>0</v>
      </c>
      <c r="AO162" s="6" t="str">
        <f t="shared" si="123"/>
        <v/>
      </c>
      <c r="AP162" s="4"/>
      <c r="AQ162" s="4"/>
      <c r="AR162" s="5">
        <f t="shared" si="124"/>
        <v>0</v>
      </c>
      <c r="AS162" s="6" t="str">
        <f t="shared" si="125"/>
        <v/>
      </c>
      <c r="AT162" s="5">
        <f t="shared" si="126"/>
        <v>11.37</v>
      </c>
      <c r="AU162" s="5">
        <f t="shared" si="127"/>
        <v>0</v>
      </c>
      <c r="AV162" s="5">
        <f t="shared" si="128"/>
        <v>11.37</v>
      </c>
      <c r="AW162" s="6" t="str">
        <f t="shared" si="129"/>
        <v/>
      </c>
    </row>
    <row r="163" spans="1:49" x14ac:dyDescent="0.25">
      <c r="A163" s="3" t="s">
        <v>172</v>
      </c>
      <c r="B163" s="4"/>
      <c r="C163" s="5">
        <f>38427</f>
        <v>38427</v>
      </c>
      <c r="D163" s="5">
        <f t="shared" si="104"/>
        <v>-38427</v>
      </c>
      <c r="E163" s="6">
        <f t="shared" si="105"/>
        <v>0</v>
      </c>
      <c r="F163" s="4"/>
      <c r="G163" s="5">
        <f>0</f>
        <v>0</v>
      </c>
      <c r="H163" s="5">
        <f t="shared" si="106"/>
        <v>0</v>
      </c>
      <c r="I163" s="6" t="str">
        <f t="shared" si="107"/>
        <v/>
      </c>
      <c r="J163" s="4"/>
      <c r="K163" s="5">
        <f>0</f>
        <v>0</v>
      </c>
      <c r="L163" s="5">
        <f t="shared" si="108"/>
        <v>0</v>
      </c>
      <c r="M163" s="6" t="str">
        <f t="shared" si="109"/>
        <v/>
      </c>
      <c r="N163" s="4"/>
      <c r="O163" s="5">
        <f>0</f>
        <v>0</v>
      </c>
      <c r="P163" s="5">
        <f t="shared" si="110"/>
        <v>0</v>
      </c>
      <c r="Q163" s="6" t="str">
        <f t="shared" si="111"/>
        <v/>
      </c>
      <c r="R163" s="4"/>
      <c r="S163" s="5">
        <f>0</f>
        <v>0</v>
      </c>
      <c r="T163" s="5">
        <f t="shared" si="112"/>
        <v>0</v>
      </c>
      <c r="U163" s="6" t="str">
        <f t="shared" si="113"/>
        <v/>
      </c>
      <c r="V163" s="4"/>
      <c r="W163" s="5">
        <f>0</f>
        <v>0</v>
      </c>
      <c r="X163" s="5">
        <f t="shared" si="114"/>
        <v>0</v>
      </c>
      <c r="Y163" s="6" t="str">
        <f t="shared" si="115"/>
        <v/>
      </c>
      <c r="Z163" s="4"/>
      <c r="AA163" s="5">
        <f>0</f>
        <v>0</v>
      </c>
      <c r="AB163" s="5">
        <f t="shared" si="116"/>
        <v>0</v>
      </c>
      <c r="AC163" s="6" t="str">
        <f t="shared" si="117"/>
        <v/>
      </c>
      <c r="AD163" s="4"/>
      <c r="AE163" s="5">
        <f>0</f>
        <v>0</v>
      </c>
      <c r="AF163" s="5">
        <f t="shared" si="118"/>
        <v>0</v>
      </c>
      <c r="AG163" s="6" t="str">
        <f t="shared" si="119"/>
        <v/>
      </c>
      <c r="AH163" s="4"/>
      <c r="AI163" s="5">
        <f>0</f>
        <v>0</v>
      </c>
      <c r="AJ163" s="5">
        <f t="shared" si="120"/>
        <v>0</v>
      </c>
      <c r="AK163" s="6" t="str">
        <f t="shared" si="121"/>
        <v/>
      </c>
      <c r="AL163" s="4"/>
      <c r="AM163" s="5">
        <f>0</f>
        <v>0</v>
      </c>
      <c r="AN163" s="5">
        <f t="shared" si="122"/>
        <v>0</v>
      </c>
      <c r="AO163" s="6" t="str">
        <f t="shared" si="123"/>
        <v/>
      </c>
      <c r="AP163" s="4"/>
      <c r="AQ163" s="5">
        <f>0</f>
        <v>0</v>
      </c>
      <c r="AR163" s="5">
        <f t="shared" si="124"/>
        <v>0</v>
      </c>
      <c r="AS163" s="6" t="str">
        <f t="shared" si="125"/>
        <v/>
      </c>
      <c r="AT163" s="5">
        <f t="shared" si="126"/>
        <v>0</v>
      </c>
      <c r="AU163" s="5">
        <f t="shared" si="127"/>
        <v>38427</v>
      </c>
      <c r="AV163" s="5">
        <f t="shared" si="128"/>
        <v>-38427</v>
      </c>
      <c r="AW163" s="6">
        <f t="shared" si="129"/>
        <v>0</v>
      </c>
    </row>
    <row r="164" spans="1:49" x14ac:dyDescent="0.25">
      <c r="A164" s="3" t="s">
        <v>173</v>
      </c>
      <c r="B164" s="7">
        <f>(B162)+(B163)</f>
        <v>11.37</v>
      </c>
      <c r="C164" s="7">
        <f>(C162)+(C163)</f>
        <v>38427</v>
      </c>
      <c r="D164" s="7">
        <f t="shared" si="104"/>
        <v>-38415.629999999997</v>
      </c>
      <c r="E164" s="8">
        <f t="shared" si="105"/>
        <v>2.9588570536341635E-4</v>
      </c>
      <c r="F164" s="7">
        <f>(F162)+(F163)</f>
        <v>0</v>
      </c>
      <c r="G164" s="7">
        <f>(G162)+(G163)</f>
        <v>0</v>
      </c>
      <c r="H164" s="7">
        <f t="shared" si="106"/>
        <v>0</v>
      </c>
      <c r="I164" s="8" t="str">
        <f t="shared" si="107"/>
        <v/>
      </c>
      <c r="J164" s="7">
        <f>(J162)+(J163)</f>
        <v>0</v>
      </c>
      <c r="K164" s="7">
        <f>(K162)+(K163)</f>
        <v>0</v>
      </c>
      <c r="L164" s="7">
        <f t="shared" si="108"/>
        <v>0</v>
      </c>
      <c r="M164" s="8" t="str">
        <f t="shared" si="109"/>
        <v/>
      </c>
      <c r="N164" s="7">
        <f>(N162)+(N163)</f>
        <v>0</v>
      </c>
      <c r="O164" s="7">
        <f>(O162)+(O163)</f>
        <v>0</v>
      </c>
      <c r="P164" s="7">
        <f t="shared" si="110"/>
        <v>0</v>
      </c>
      <c r="Q164" s="8" t="str">
        <f t="shared" si="111"/>
        <v/>
      </c>
      <c r="R164" s="7">
        <f>(R162)+(R163)</f>
        <v>0</v>
      </c>
      <c r="S164" s="7">
        <f>(S162)+(S163)</f>
        <v>0</v>
      </c>
      <c r="T164" s="7">
        <f t="shared" si="112"/>
        <v>0</v>
      </c>
      <c r="U164" s="8" t="str">
        <f t="shared" si="113"/>
        <v/>
      </c>
      <c r="V164" s="7">
        <f>(V162)+(V163)</f>
        <v>0</v>
      </c>
      <c r="W164" s="7">
        <f>(W162)+(W163)</f>
        <v>0</v>
      </c>
      <c r="X164" s="7">
        <f t="shared" si="114"/>
        <v>0</v>
      </c>
      <c r="Y164" s="8" t="str">
        <f t="shared" si="115"/>
        <v/>
      </c>
      <c r="Z164" s="7">
        <f>(Z162)+(Z163)</f>
        <v>0</v>
      </c>
      <c r="AA164" s="7">
        <f>(AA162)+(AA163)</f>
        <v>0</v>
      </c>
      <c r="AB164" s="7">
        <f t="shared" si="116"/>
        <v>0</v>
      </c>
      <c r="AC164" s="8" t="str">
        <f t="shared" si="117"/>
        <v/>
      </c>
      <c r="AD164" s="7">
        <f>(AD162)+(AD163)</f>
        <v>0</v>
      </c>
      <c r="AE164" s="7">
        <f>(AE162)+(AE163)</f>
        <v>0</v>
      </c>
      <c r="AF164" s="7">
        <f t="shared" si="118"/>
        <v>0</v>
      </c>
      <c r="AG164" s="8" t="str">
        <f t="shared" si="119"/>
        <v/>
      </c>
      <c r="AH164" s="7">
        <f>(AH162)+(AH163)</f>
        <v>0</v>
      </c>
      <c r="AI164" s="7">
        <f>(AI162)+(AI163)</f>
        <v>0</v>
      </c>
      <c r="AJ164" s="7">
        <f t="shared" si="120"/>
        <v>0</v>
      </c>
      <c r="AK164" s="8" t="str">
        <f t="shared" si="121"/>
        <v/>
      </c>
      <c r="AL164" s="7">
        <f>(AL162)+(AL163)</f>
        <v>0</v>
      </c>
      <c r="AM164" s="7">
        <f>(AM162)+(AM163)</f>
        <v>0</v>
      </c>
      <c r="AN164" s="7">
        <f t="shared" si="122"/>
        <v>0</v>
      </c>
      <c r="AO164" s="8" t="str">
        <f t="shared" si="123"/>
        <v/>
      </c>
      <c r="AP164" s="7">
        <f>(AP162)+(AP163)</f>
        <v>0</v>
      </c>
      <c r="AQ164" s="7">
        <f>(AQ162)+(AQ163)</f>
        <v>0</v>
      </c>
      <c r="AR164" s="7">
        <f t="shared" si="124"/>
        <v>0</v>
      </c>
      <c r="AS164" s="8" t="str">
        <f t="shared" si="125"/>
        <v/>
      </c>
      <c r="AT164" s="7">
        <f t="shared" si="126"/>
        <v>11.37</v>
      </c>
      <c r="AU164" s="7">
        <f t="shared" si="127"/>
        <v>38427</v>
      </c>
      <c r="AV164" s="7">
        <f t="shared" si="128"/>
        <v>-38415.629999999997</v>
      </c>
      <c r="AW164" s="8">
        <f t="shared" si="129"/>
        <v>2.9588570536341635E-4</v>
      </c>
    </row>
    <row r="165" spans="1:49" x14ac:dyDescent="0.25">
      <c r="A165" s="3" t="s">
        <v>174</v>
      </c>
      <c r="B165" s="7">
        <f>(((B156)+(B160))+(B161))+(B164)</f>
        <v>11.37</v>
      </c>
      <c r="C165" s="7">
        <f>(((C156)+(C160))+(C161))+(C164)</f>
        <v>173835</v>
      </c>
      <c r="D165" s="7">
        <f t="shared" si="104"/>
        <v>-173823.63</v>
      </c>
      <c r="E165" s="8">
        <f t="shared" si="105"/>
        <v>6.5406851324531883E-5</v>
      </c>
      <c r="F165" s="7">
        <f>(((F156)+(F160))+(F161))+(F164)</f>
        <v>0</v>
      </c>
      <c r="G165" s="7">
        <f>(((G156)+(G160))+(G161))+(G164)</f>
        <v>0</v>
      </c>
      <c r="H165" s="7">
        <f t="shared" si="106"/>
        <v>0</v>
      </c>
      <c r="I165" s="8" t="str">
        <f t="shared" si="107"/>
        <v/>
      </c>
      <c r="J165" s="7">
        <f>(((J156)+(J160))+(J161))+(J164)</f>
        <v>16036.299999999996</v>
      </c>
      <c r="K165" s="7">
        <f>(((K156)+(K160))+(K161))+(K164)</f>
        <v>0</v>
      </c>
      <c r="L165" s="7">
        <f t="shared" si="108"/>
        <v>16036.299999999996</v>
      </c>
      <c r="M165" s="8" t="str">
        <f t="shared" si="109"/>
        <v/>
      </c>
      <c r="N165" s="7">
        <f>(((N156)+(N160))+(N161))+(N164)</f>
        <v>0</v>
      </c>
      <c r="O165" s="7">
        <f>(((O156)+(O160))+(O161))+(O164)</f>
        <v>0</v>
      </c>
      <c r="P165" s="7">
        <f t="shared" si="110"/>
        <v>0</v>
      </c>
      <c r="Q165" s="8" t="str">
        <f t="shared" si="111"/>
        <v/>
      </c>
      <c r="R165" s="7">
        <f>(((R156)+(R160))+(R161))+(R164)</f>
        <v>0</v>
      </c>
      <c r="S165" s="7">
        <f>(((S156)+(S160))+(S161))+(S164)</f>
        <v>0</v>
      </c>
      <c r="T165" s="7">
        <f t="shared" si="112"/>
        <v>0</v>
      </c>
      <c r="U165" s="8" t="str">
        <f t="shared" si="113"/>
        <v/>
      </c>
      <c r="V165" s="7">
        <f>(((V156)+(V160))+(V161))+(V164)</f>
        <v>0</v>
      </c>
      <c r="W165" s="7">
        <f>(((W156)+(W160))+(W161))+(W164)</f>
        <v>0</v>
      </c>
      <c r="X165" s="7">
        <f t="shared" si="114"/>
        <v>0</v>
      </c>
      <c r="Y165" s="8" t="str">
        <f t="shared" si="115"/>
        <v/>
      </c>
      <c r="Z165" s="7">
        <f>(((Z156)+(Z160))+(Z161))+(Z164)</f>
        <v>0</v>
      </c>
      <c r="AA165" s="7">
        <f>(((AA156)+(AA160))+(AA161))+(AA164)</f>
        <v>0</v>
      </c>
      <c r="AB165" s="7">
        <f t="shared" si="116"/>
        <v>0</v>
      </c>
      <c r="AC165" s="8" t="str">
        <f t="shared" si="117"/>
        <v/>
      </c>
      <c r="AD165" s="7">
        <f>(((AD156)+(AD160))+(AD161))+(AD164)</f>
        <v>0</v>
      </c>
      <c r="AE165" s="7">
        <f>(((AE156)+(AE160))+(AE161))+(AE164)</f>
        <v>0</v>
      </c>
      <c r="AF165" s="7">
        <f t="shared" si="118"/>
        <v>0</v>
      </c>
      <c r="AG165" s="8" t="str">
        <f t="shared" si="119"/>
        <v/>
      </c>
      <c r="AH165" s="7">
        <f>(((AH156)+(AH160))+(AH161))+(AH164)</f>
        <v>15333.839999999997</v>
      </c>
      <c r="AI165" s="7">
        <f>(((AI156)+(AI160))+(AI161))+(AI164)</f>
        <v>0</v>
      </c>
      <c r="AJ165" s="7">
        <f t="shared" si="120"/>
        <v>15333.839999999997</v>
      </c>
      <c r="AK165" s="8" t="str">
        <f t="shared" si="121"/>
        <v/>
      </c>
      <c r="AL165" s="7">
        <f>(((AL156)+(AL160))+(AL161))+(AL164)</f>
        <v>0</v>
      </c>
      <c r="AM165" s="7">
        <f>(((AM156)+(AM160))+(AM161))+(AM164)</f>
        <v>0</v>
      </c>
      <c r="AN165" s="7">
        <f t="shared" si="122"/>
        <v>0</v>
      </c>
      <c r="AO165" s="8" t="str">
        <f t="shared" si="123"/>
        <v/>
      </c>
      <c r="AP165" s="7">
        <f>(((AP156)+(AP160))+(AP161))+(AP164)</f>
        <v>0</v>
      </c>
      <c r="AQ165" s="7">
        <f>(((AQ156)+(AQ160))+(AQ161))+(AQ164)</f>
        <v>0</v>
      </c>
      <c r="AR165" s="7">
        <f t="shared" si="124"/>
        <v>0</v>
      </c>
      <c r="AS165" s="8" t="str">
        <f t="shared" si="125"/>
        <v/>
      </c>
      <c r="AT165" s="7">
        <f t="shared" si="126"/>
        <v>31381.509999999995</v>
      </c>
      <c r="AU165" s="7">
        <f t="shared" si="127"/>
        <v>173835</v>
      </c>
      <c r="AV165" s="7">
        <f t="shared" si="128"/>
        <v>-142453.49</v>
      </c>
      <c r="AW165" s="8">
        <f t="shared" si="129"/>
        <v>0.18052469295596396</v>
      </c>
    </row>
    <row r="166" spans="1:49" x14ac:dyDescent="0.25">
      <c r="A166" s="3" t="s">
        <v>175</v>
      </c>
      <c r="B166" s="7">
        <f>(B154)-(B165)</f>
        <v>61.580000000000005</v>
      </c>
      <c r="C166" s="7">
        <f>(C154)-(C165)</f>
        <v>-173835</v>
      </c>
      <c r="D166" s="7">
        <f t="shared" si="104"/>
        <v>173896.58</v>
      </c>
      <c r="E166" s="8">
        <f t="shared" si="105"/>
        <v>-3.5424396698018241E-4</v>
      </c>
      <c r="F166" s="7">
        <f>(F154)-(F165)</f>
        <v>0</v>
      </c>
      <c r="G166" s="7">
        <f>(G154)-(G165)</f>
        <v>0</v>
      </c>
      <c r="H166" s="7">
        <f t="shared" si="106"/>
        <v>0</v>
      </c>
      <c r="I166" s="8" t="str">
        <f t="shared" si="107"/>
        <v/>
      </c>
      <c r="J166" s="7">
        <f>(J154)-(J165)</f>
        <v>-16036.299999999996</v>
      </c>
      <c r="K166" s="7">
        <f>(K154)-(K165)</f>
        <v>0</v>
      </c>
      <c r="L166" s="7">
        <f t="shared" si="108"/>
        <v>-16036.299999999996</v>
      </c>
      <c r="M166" s="8" t="str">
        <f t="shared" si="109"/>
        <v/>
      </c>
      <c r="N166" s="7">
        <f>(N154)-(N165)</f>
        <v>0</v>
      </c>
      <c r="O166" s="7">
        <f>(O154)-(O165)</f>
        <v>0</v>
      </c>
      <c r="P166" s="7">
        <f t="shared" si="110"/>
        <v>0</v>
      </c>
      <c r="Q166" s="8" t="str">
        <f t="shared" si="111"/>
        <v/>
      </c>
      <c r="R166" s="7">
        <f>(R154)-(R165)</f>
        <v>0</v>
      </c>
      <c r="S166" s="7">
        <f>(S154)-(S165)</f>
        <v>0</v>
      </c>
      <c r="T166" s="7">
        <f t="shared" si="112"/>
        <v>0</v>
      </c>
      <c r="U166" s="8" t="str">
        <f t="shared" si="113"/>
        <v/>
      </c>
      <c r="V166" s="7">
        <f>(V154)-(V165)</f>
        <v>0</v>
      </c>
      <c r="W166" s="7">
        <f>(W154)-(W165)</f>
        <v>0</v>
      </c>
      <c r="X166" s="7">
        <f t="shared" si="114"/>
        <v>0</v>
      </c>
      <c r="Y166" s="8" t="str">
        <f t="shared" si="115"/>
        <v/>
      </c>
      <c r="Z166" s="7">
        <f>(Z154)-(Z165)</f>
        <v>0</v>
      </c>
      <c r="AA166" s="7">
        <f>(AA154)-(AA165)</f>
        <v>0</v>
      </c>
      <c r="AB166" s="7">
        <f t="shared" si="116"/>
        <v>0</v>
      </c>
      <c r="AC166" s="8" t="str">
        <f t="shared" si="117"/>
        <v/>
      </c>
      <c r="AD166" s="7">
        <f>(AD154)-(AD165)</f>
        <v>0</v>
      </c>
      <c r="AE166" s="7">
        <f>(AE154)-(AE165)</f>
        <v>0</v>
      </c>
      <c r="AF166" s="7">
        <f t="shared" si="118"/>
        <v>0</v>
      </c>
      <c r="AG166" s="8" t="str">
        <f t="shared" si="119"/>
        <v/>
      </c>
      <c r="AH166" s="7">
        <f>(AH154)-(AH165)</f>
        <v>-15333.839999999997</v>
      </c>
      <c r="AI166" s="7">
        <f>(AI154)-(AI165)</f>
        <v>0</v>
      </c>
      <c r="AJ166" s="7">
        <f t="shared" si="120"/>
        <v>-15333.839999999997</v>
      </c>
      <c r="AK166" s="8" t="str">
        <f t="shared" si="121"/>
        <v/>
      </c>
      <c r="AL166" s="7">
        <f>(AL154)-(AL165)</f>
        <v>0</v>
      </c>
      <c r="AM166" s="7">
        <f>(AM154)-(AM165)</f>
        <v>0</v>
      </c>
      <c r="AN166" s="7">
        <f t="shared" si="122"/>
        <v>0</v>
      </c>
      <c r="AO166" s="8" t="str">
        <f t="shared" si="123"/>
        <v/>
      </c>
      <c r="AP166" s="7">
        <f>(AP154)-(AP165)</f>
        <v>0</v>
      </c>
      <c r="AQ166" s="7">
        <f>(AQ154)-(AQ165)</f>
        <v>0</v>
      </c>
      <c r="AR166" s="7">
        <f t="shared" si="124"/>
        <v>0</v>
      </c>
      <c r="AS166" s="8" t="str">
        <f t="shared" si="125"/>
        <v/>
      </c>
      <c r="AT166" s="7">
        <f t="shared" si="126"/>
        <v>-31308.55999999999</v>
      </c>
      <c r="AU166" s="7">
        <f t="shared" si="127"/>
        <v>-173835</v>
      </c>
      <c r="AV166" s="7">
        <f t="shared" si="128"/>
        <v>142526.44</v>
      </c>
      <c r="AW166" s="8">
        <f t="shared" si="129"/>
        <v>0.18010504213765921</v>
      </c>
    </row>
    <row r="167" spans="1:49" x14ac:dyDescent="0.25">
      <c r="A167" s="3" t="s">
        <v>176</v>
      </c>
      <c r="B167" s="9">
        <f>(B151)+(B166)</f>
        <v>-37198.85</v>
      </c>
      <c r="C167" s="9">
        <f>(C151)+(C166)</f>
        <v>4993</v>
      </c>
      <c r="D167" s="9">
        <f t="shared" si="104"/>
        <v>-42191.85</v>
      </c>
      <c r="E167" s="10">
        <f t="shared" si="105"/>
        <v>-7.4502002803925489</v>
      </c>
      <c r="F167" s="9">
        <f>(F151)+(F166)</f>
        <v>31078.489999999998</v>
      </c>
      <c r="G167" s="9">
        <f>(G151)+(G166)</f>
        <v>0</v>
      </c>
      <c r="H167" s="9">
        <f t="shared" si="106"/>
        <v>31078.489999999998</v>
      </c>
      <c r="I167" s="10" t="str">
        <f t="shared" si="107"/>
        <v/>
      </c>
      <c r="J167" s="9">
        <f>(J151)+(J166)</f>
        <v>52353.30999999999</v>
      </c>
      <c r="K167" s="9">
        <f>(K151)+(K166)</f>
        <v>0</v>
      </c>
      <c r="L167" s="9">
        <f t="shared" si="108"/>
        <v>52353.30999999999</v>
      </c>
      <c r="M167" s="10" t="str">
        <f t="shared" si="109"/>
        <v/>
      </c>
      <c r="N167" s="9">
        <f>(N151)+(N166)</f>
        <v>-17809.07</v>
      </c>
      <c r="O167" s="9">
        <f>(O151)+(O166)</f>
        <v>0</v>
      </c>
      <c r="P167" s="9">
        <f t="shared" si="110"/>
        <v>-17809.07</v>
      </c>
      <c r="Q167" s="10" t="str">
        <f t="shared" si="111"/>
        <v/>
      </c>
      <c r="R167" s="9">
        <f>(R151)+(R166)</f>
        <v>26311.290000000008</v>
      </c>
      <c r="S167" s="9">
        <f>(S151)+(S166)</f>
        <v>0</v>
      </c>
      <c r="T167" s="9">
        <f t="shared" si="112"/>
        <v>26311.290000000008</v>
      </c>
      <c r="U167" s="10" t="str">
        <f t="shared" si="113"/>
        <v/>
      </c>
      <c r="V167" s="9">
        <f>(V151)+(V166)</f>
        <v>32206.94</v>
      </c>
      <c r="W167" s="9">
        <f>(W151)+(W166)</f>
        <v>0</v>
      </c>
      <c r="X167" s="9">
        <f t="shared" si="114"/>
        <v>32206.94</v>
      </c>
      <c r="Y167" s="10" t="str">
        <f t="shared" si="115"/>
        <v/>
      </c>
      <c r="Z167" s="9">
        <f>(Z151)+(Z166)</f>
        <v>72826.87000000001</v>
      </c>
      <c r="AA167" s="9">
        <f>(AA151)+(AA166)</f>
        <v>0</v>
      </c>
      <c r="AB167" s="9">
        <f t="shared" si="116"/>
        <v>72826.87000000001</v>
      </c>
      <c r="AC167" s="10" t="str">
        <f t="shared" si="117"/>
        <v/>
      </c>
      <c r="AD167" s="9">
        <f>(AD151)+(AD166)</f>
        <v>-17536.36</v>
      </c>
      <c r="AE167" s="9">
        <f>(AE151)+(AE166)</f>
        <v>0</v>
      </c>
      <c r="AF167" s="9">
        <f t="shared" si="118"/>
        <v>-17536.36</v>
      </c>
      <c r="AG167" s="10" t="str">
        <f t="shared" si="119"/>
        <v/>
      </c>
      <c r="AH167" s="9">
        <f>(AH151)+(AH166)</f>
        <v>-39570.319999999992</v>
      </c>
      <c r="AI167" s="9">
        <f>(AI151)+(AI166)</f>
        <v>0</v>
      </c>
      <c r="AJ167" s="9">
        <f t="shared" si="120"/>
        <v>-39570.319999999992</v>
      </c>
      <c r="AK167" s="10" t="str">
        <f t="shared" si="121"/>
        <v/>
      </c>
      <c r="AL167" s="9">
        <f>(AL151)+(AL166)</f>
        <v>-40661.280000000006</v>
      </c>
      <c r="AM167" s="9">
        <f>(AM151)+(AM166)</f>
        <v>0</v>
      </c>
      <c r="AN167" s="9">
        <f t="shared" si="122"/>
        <v>-40661.280000000006</v>
      </c>
      <c r="AO167" s="10" t="str">
        <f t="shared" si="123"/>
        <v/>
      </c>
      <c r="AP167" s="9">
        <f>(AP151)+(AP166)</f>
        <v>-19941.650000000001</v>
      </c>
      <c r="AQ167" s="9">
        <f>(AQ151)+(AQ166)</f>
        <v>0</v>
      </c>
      <c r="AR167" s="9">
        <f t="shared" si="124"/>
        <v>-19941.650000000001</v>
      </c>
      <c r="AS167" s="10" t="str">
        <f t="shared" si="125"/>
        <v/>
      </c>
      <c r="AT167" s="9">
        <f t="shared" si="126"/>
        <v>42059.369999999995</v>
      </c>
      <c r="AU167" s="9">
        <f t="shared" si="127"/>
        <v>4993</v>
      </c>
      <c r="AV167" s="9">
        <f t="shared" si="128"/>
        <v>37066.369999999995</v>
      </c>
      <c r="AW167" s="10">
        <f t="shared" si="129"/>
        <v>8.4236671339875819</v>
      </c>
    </row>
    <row r="168" spans="1:49" x14ac:dyDescent="0.25">
      <c r="A168" s="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</row>
    <row r="171" spans="1:49" x14ac:dyDescent="0.25">
      <c r="A171" s="13" t="s">
        <v>177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</row>
  </sheetData>
  <mergeCells count="16">
    <mergeCell ref="AP5:AS5"/>
    <mergeCell ref="AT5:AW5"/>
    <mergeCell ref="A171:AW171"/>
    <mergeCell ref="A1:AW1"/>
    <mergeCell ref="A2:AW2"/>
    <mergeCell ref="A3:AW3"/>
    <mergeCell ref="V5:Y5"/>
    <mergeCell ref="Z5:AC5"/>
    <mergeCell ref="AD5:AG5"/>
    <mergeCell ref="AH5:AK5"/>
    <mergeCell ref="AL5:AO5"/>
    <mergeCell ref="B5:E5"/>
    <mergeCell ref="F5:I5"/>
    <mergeCell ref="J5:M5"/>
    <mergeCell ref="N5:Q5"/>
    <mergeCell ref="R5:U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vs. Actuals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Manager LCL</cp:lastModifiedBy>
  <dcterms:created xsi:type="dcterms:W3CDTF">2025-12-04T16:26:03Z</dcterms:created>
  <dcterms:modified xsi:type="dcterms:W3CDTF">2025-12-04T18:35:53Z</dcterms:modified>
</cp:coreProperties>
</file>